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1640" activeTab="2"/>
  </bookViews>
  <sheets>
    <sheet name="NASLOV" sheetId="1" r:id="rId1"/>
    <sheet name="rekapit" sheetId="2" r:id="rId2"/>
    <sheet name="depon" sheetId="3" r:id="rId3"/>
    <sheet name="strojne" sheetId="4" r:id="rId4"/>
    <sheet name="IZMERE" sheetId="5" r:id="rId5"/>
  </sheets>
  <definedNames>
    <definedName name="_xlnm.Print_Area" localSheetId="1">'rekapit'!$A$1:$D$26</definedName>
  </definedNames>
  <calcPr fullCalcOnLoad="1"/>
</workbook>
</file>

<file path=xl/sharedStrings.xml><?xml version="1.0" encoding="utf-8"?>
<sst xmlns="http://schemas.openxmlformats.org/spreadsheetml/2006/main" count="215" uniqueCount="132">
  <si>
    <t>m</t>
  </si>
  <si>
    <t xml:space="preserve">investitor </t>
  </si>
  <si>
    <t>projekt</t>
  </si>
  <si>
    <t xml:space="preserve">del načrta </t>
  </si>
  <si>
    <t>Kleibencetl Iztok, udig</t>
  </si>
  <si>
    <t>m2</t>
  </si>
  <si>
    <t>Datum</t>
  </si>
  <si>
    <t>Sestavil</t>
  </si>
  <si>
    <t>m3</t>
  </si>
  <si>
    <t>SKUPAJ</t>
  </si>
  <si>
    <t>kos</t>
  </si>
  <si>
    <t>IZRAVNAVA ZEMELJSKIH MAS</t>
  </si>
  <si>
    <t>Planiranje zemeljskih površin</t>
  </si>
  <si>
    <t>Zatravitev</t>
  </si>
  <si>
    <t>REKAPITULACIJA</t>
  </si>
  <si>
    <t>PROJEKTIVA INŽENIRING PIRAN</t>
  </si>
  <si>
    <t>Fornače 35</t>
  </si>
  <si>
    <t>Piran</t>
  </si>
  <si>
    <t xml:space="preserve">JP OKOLJE </t>
  </si>
  <si>
    <t>Arze 1 b</t>
  </si>
  <si>
    <t xml:space="preserve">ODLAGALIŠČA NENEVARNIH </t>
  </si>
  <si>
    <t>ODPADKOV DRAGONJA</t>
  </si>
  <si>
    <t>POPIS DEL</t>
  </si>
  <si>
    <t>GRADBENA DELA</t>
  </si>
  <si>
    <t xml:space="preserve">IZDELAVA TESNILNEGA SLOJA </t>
  </si>
  <si>
    <t>ZAPIRANJE</t>
  </si>
  <si>
    <t>Odplinjevanje : agregat 8-32 mm v sloju debeline 20cm</t>
  </si>
  <si>
    <t>Izravnava zemeljskih mas - odkop, premet , nasipavanje, vključno z vsemi nakladanji in prevozi po gradbišču in vgradnjo z zasekavanjem plasti v plasteh po 30 cm s sprotno komprimacijo</t>
  </si>
  <si>
    <t>Zaporna plast</t>
  </si>
  <si>
    <t>IZDELAVA DOVOZNIH POTI IN PLATOJEV</t>
  </si>
  <si>
    <t xml:space="preserve">Planiranje planuma </t>
  </si>
  <si>
    <t>Vgradnja polsti 200 g / m2</t>
  </si>
  <si>
    <t xml:space="preserve">Popravilo pletiva obstoječe ograje </t>
  </si>
  <si>
    <t>Dobava in vgradnja nove ograje.iz žičnatega pletiva višine 2,00m</t>
  </si>
  <si>
    <t>Dobava in vgradnja stebrov ograje. Jeklena cev Φ 50, dolžine 2,50m, antikorozijska zaščita, temelj iz betona C30/35 Φ 30 cm globine 80cm</t>
  </si>
  <si>
    <t>DOVOZNE POTI</t>
  </si>
  <si>
    <t>kol.</t>
  </si>
  <si>
    <t>kpl</t>
  </si>
  <si>
    <t>Vgradnja tamponske plasti. Tampon 0-32mm v debelini 20 cm. Statično uvaljanje do 60 kPa</t>
  </si>
  <si>
    <t>Odstranitev še uporabnega humusa, deponiranje za kasnejšo uporabo, vklljučno z vsemi nakladanji in prevozi po gradbišču</t>
  </si>
  <si>
    <t>STROJNE INSTALACIJE - ODPLINJEVANJE</t>
  </si>
  <si>
    <t>11.</t>
  </si>
  <si>
    <t>POPIS MATERIALA, OPREME IN DEL</t>
  </si>
  <si>
    <t>V enotnih cenah morajo biti zajeti stroški za:</t>
  </si>
  <si>
    <t>Zavarovanje del, delovnih sredstev in gradbišča proti odgovornosti do tretje osebe, proti kraji in poškodbam.</t>
  </si>
  <si>
    <t>Namestitev opozorilnih tabel za ves čas gradnje vključno z zaščito gradbišča. Zajtei so tudi stroški pri pridobivanju dovoljenj za delno in popolno zaporo cest ter ostale stroške upravnega postopka kar vse bremeni izvajalca.</t>
  </si>
  <si>
    <t>Priprava deponije  za plinovodni in gradbeni material. Upoštevanje pridobitev morebitnega soglasja lastnika parcele in plačilo odškodnine.</t>
  </si>
  <si>
    <t>post.</t>
  </si>
  <si>
    <t>opis postavke</t>
  </si>
  <si>
    <t>en. m.</t>
  </si>
  <si>
    <t>cena po enoti</t>
  </si>
  <si>
    <t>Gradbena dela</t>
  </si>
  <si>
    <t>Zakoličba osi cevovodov plina in namakanja s postavitvijo profilov in višin ter njihova zaščita.</t>
  </si>
  <si>
    <t>tm</t>
  </si>
  <si>
    <t>Zakoličba obstoječih komunalnih vodov in cevi (PTT, elektro, …) ter njihova označba.</t>
  </si>
  <si>
    <t>Delni izkop kanala za položitev primarnih in sekundarnih plinovodnih cevi, skupaj s sprotnim nakladanjem na kamion ter z vsemi pomožnimi deli, čiščenjem ceste, usmerjanjem prometa ter izdelavo vseh prehodov. Zakoličba in izkop na območju drugih infrastrukturnih naprav se mora izvajati pod nadzorom upravljelcev posameznih vodov.</t>
  </si>
  <si>
    <t>Struktura izkopa ocenjena na sloj do globine cca 0,6m, obračun po dejansko izvršenih delih.</t>
  </si>
  <si>
    <t xml:space="preserve">II. kat. </t>
  </si>
  <si>
    <t>III. kat.</t>
  </si>
  <si>
    <t>Ročno planiranje dna kanala po projektirani niveleti s točnostjo ±3cm iz projekta in uvaljanje dna.</t>
  </si>
  <si>
    <t>Dobava na mesto vgradnje in vgrajevanje podložne plasti iz peska granulacije 0÷4mm, min. debeline sloja je 10cm pod cevjo. Presek 0,25m3/tm. V ceni so zajeta vsa dodatna in zaščitna dela ter ustrezno komprimiranje peska.</t>
  </si>
  <si>
    <t>Zasip ostalega dela jarka s tamponom iz drobljenca maksimalne granulacije 5cm. Tampon je potrebno položiti v slojih po 30cm z utrjevanjem z ročnim vibracijskim valjarjem ali z "žabo". Obvezno je potrebno izvesti meritve utrjenosti spodnjega ustroja.</t>
  </si>
  <si>
    <t xml:space="preserve">Odvoz odvečnega materiala v prečno izravnavo mas na gradbišču </t>
  </si>
  <si>
    <t>Polaganje opozorilnega traka "Pozor plinovod"</t>
  </si>
  <si>
    <t>Izdelava geodetskega posnetka izvedenih del in PID.</t>
  </si>
  <si>
    <t>Nepredvidena dela vpisana v gradbeni dnevnik in potrjena s strani nadzornega organa. OCENA cca 10%</t>
  </si>
  <si>
    <t>Strojne instalacije</t>
  </si>
  <si>
    <t>Opomba:</t>
  </si>
  <si>
    <t>Vsa oprema in material se smatrata kot vgrajena na objektu vključno z nabavo, transportom, zavarovanjem, usklajevanjem z gradbincem ter zarisovanjem, montažo in vsem potrebnim drobnim montažnim materialom.</t>
  </si>
  <si>
    <t>V popisu so zajeti kosi opreme in potrebna dela za izvedbo del od s projektom predvidene lokacije priključitve na obstoječe plinovodno omrežje PE90 na mestu pred prehodom pod cesto do obstoječega sežigalnega mesta, vključno z vsem cevnim materialom in pripadajočimi fazonskimi kosi.</t>
  </si>
  <si>
    <t>V popisu niso zajeta nepredvidena dela do katerih bi lahko prišlo tekom izvedbe del.</t>
  </si>
  <si>
    <t>Vsa oprema in material sta do končnega prevzema s strani investitorja v lasti izvajalca del.</t>
  </si>
  <si>
    <t>Plinska instalacija</t>
  </si>
  <si>
    <t>Polietilenske cevi izdelane po standardu  SIST ISO 4437 in DIN 8074, iz materiala – PE visoke gostote, tip SDR 17 vključno z materialom za razrez.</t>
  </si>
  <si>
    <t>PE 90</t>
  </si>
  <si>
    <t>PE 315</t>
  </si>
  <si>
    <t>Polietilenski fitingi po DIN 16963 izdelani iz PE surovine po DIN 8075 za spajanje cevi</t>
  </si>
  <si>
    <t xml:space="preserve">- Elektro varilne spojke – Frialen tip MB ali enakovredno </t>
  </si>
  <si>
    <t>Kolena 90° – Frialen tip W ali enakovredno</t>
  </si>
  <si>
    <t>- Koleno 45° – Frialen tip W ali enakovredno</t>
  </si>
  <si>
    <t>- T-kos – Frialen tip T ali enakovredno</t>
  </si>
  <si>
    <t>Zaključna kapa – Frialen tip MV ali enakovredno</t>
  </si>
  <si>
    <t>Opozorilni trak "POZOR PLINOVOD" rumene barve s kovinskim vložkom za indikacijo PE plinovoda</t>
  </si>
  <si>
    <t>Tlačni in tesnostni preizkus</t>
  </si>
  <si>
    <t>Pripravljalna in zaključna dela (označitev poteka trase, določ. priklj.)</t>
  </si>
  <si>
    <t>Projektna dokumentacija faze PID  za tehnični pregled in obratovalno dovoljenje (4 izvodi).</t>
  </si>
  <si>
    <t>Vris plinovoda v kataster komunalnih naprav, vključno z geodetskim posnetkom</t>
  </si>
  <si>
    <t>Prvo polnjenje omrežja  s plinom  – izvede investitor (ponuditi samo pomoč pri izvedbi polnenja omrežja in zagonu)</t>
  </si>
  <si>
    <t>Demontaža obstoječih plinjakov z odrezom cevi PE 315, odvoz na začasno hranjenje na območju same deponije, ponovnovna montaža predhodno odstranjenih plinjakov na iste lokacije po izeravnavi terena s podaljševanjem/krajšanjem priključne cevi PE 315.</t>
  </si>
  <si>
    <t>SKUPAJ PLINOVOD</t>
  </si>
  <si>
    <r>
      <t>d</t>
    </r>
    <r>
      <rPr>
        <vertAlign val="subscript"/>
        <sz val="10"/>
        <rFont val="Arial"/>
        <family val="2"/>
      </rPr>
      <t>zun</t>
    </r>
    <r>
      <rPr>
        <sz val="10"/>
        <rFont val="Arial"/>
        <family val="2"/>
      </rPr>
      <t xml:space="preserve"> serija</t>
    </r>
  </si>
  <si>
    <t>cena</t>
  </si>
  <si>
    <t>profil</t>
  </si>
  <si>
    <t xml:space="preserve">odkop </t>
  </si>
  <si>
    <t>zaporna plast</t>
  </si>
  <si>
    <t>razdalja</t>
  </si>
  <si>
    <t>skupaj</t>
  </si>
  <si>
    <t>planiranje</t>
  </si>
  <si>
    <t>folija</t>
  </si>
  <si>
    <t>mreža</t>
  </si>
  <si>
    <t>IZMERE</t>
  </si>
  <si>
    <t>P4</t>
  </si>
  <si>
    <t>P5</t>
  </si>
  <si>
    <t>P6</t>
  </si>
  <si>
    <t>P7</t>
  </si>
  <si>
    <t>P8</t>
  </si>
  <si>
    <t>P9</t>
  </si>
  <si>
    <t>prekrivka</t>
  </si>
  <si>
    <t>zemljina - ocena 50%</t>
  </si>
  <si>
    <t>odpadki - ocena 50%</t>
  </si>
  <si>
    <t>PE 110</t>
  </si>
  <si>
    <t xml:space="preserve">SIDRANJE </t>
  </si>
  <si>
    <t xml:space="preserve">Izdelava sidra v kroni deponije širine 8,00m po detajlu </t>
  </si>
  <si>
    <t>Izdelava sidra berme širine 3,00m po detajlu</t>
  </si>
  <si>
    <t xml:space="preserve">Izdelava sidra v kroni deponije širine 5,00m po detajlu </t>
  </si>
  <si>
    <t>OBMOĆJE 3-2</t>
  </si>
  <si>
    <t>polaganje</t>
  </si>
  <si>
    <t xml:space="preserve">dobava in polaganje </t>
  </si>
  <si>
    <t xml:space="preserve">OSTALO </t>
  </si>
  <si>
    <t>Izdelava in vgradnja reperjev za opazovanje premikov deponije</t>
  </si>
  <si>
    <t>odrez</t>
  </si>
  <si>
    <t>nova pehd</t>
  </si>
  <si>
    <t>odvjalnik kondeza</t>
  </si>
  <si>
    <t>Geomehanska mreža netezne trdnosti vzdolžno 200 kN/m, prečno 25 kN/m, raztezka max 12% ( DOP X GRID PET 200-20 ali enakovredna ) . V količini popisa je netto površina, v ceni morajo biti zajeti tudi vsi spoji in preklopi</t>
  </si>
  <si>
    <t>drenažni geokompozit - mase 610 g/m2, debeline 4mm, natezne trdnosti 16 kN/m, propustnosti 0,38 l/s/m2 pri 100 kPa (T DRAIN 4,2 50 T UK ali enakovreden). V količini popisa je netto površina, v ceni morajo biti zajeti tudi vsi spoji in preklopi</t>
  </si>
  <si>
    <t>odplinjevalni geokompozit - mase 610 g/m2, debeline 4mm, natezne trdnosti 16 kN/m, propustnosti 0,38 l/s/m2 pri 100 kPa (T DRAIN 4,2 50 T UK ali enakovreden). V količini popisa je netto površina, v ceni morajo biti zajeti tudi vsi spoji in preklopi</t>
  </si>
  <si>
    <t>Izdelava kanalet za odvodnjo površinske vode. Iz betonskih kanalet na podlagi iz armiranega tampona. Tipska betonska trapezna kanaleta širine 50 cm. Skupaj s potrebnimmi zemeljskimi deli in vsemi gradbiščnimi transporti. Zemljina ob kanaleti se splanira</t>
  </si>
  <si>
    <t>22% DDV (informativni)</t>
  </si>
  <si>
    <t>SKUPAJ Z DDV</t>
  </si>
  <si>
    <t>OBMOČJE 3-2</t>
  </si>
  <si>
    <t>ZATRAVITEV</t>
  </si>
  <si>
    <t>nepropustna folija iz polietilena, dvostransko hrapava teže 940 g/m2, debeline 1,0 mm, natezne trdnosti 23 N/mm2 ,  raztezek 12 %, raztezek pri porišitvi 100%, odpornost na vbod 260 N, odpornost na trganje 125 N, ( geochon T1000 ali enakovredna ). V količini popisa je netto površina, v ceni morajo biti zajeti tudi vsi spoji in preklopi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</si>
</sst>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\ _S_I_T_-;\-* #,##0.000\ _S_I_T_-;_-* &quot;-&quot;??\ _S_I_T_-;_-@_-"/>
    <numFmt numFmtId="173" formatCode="_-* #,##0.0\ _S_I_T_-;\-* #,##0.0\ _S_I_T_-;_-* &quot;-&quot;??\ _S_I_T_-;_-@_-"/>
    <numFmt numFmtId="174" formatCode="_-* #,##0\ _S_I_T_-;\-* #,##0\ _S_I_T_-;_-* &quot;-&quot;??\ _S_I_T_-;_-@_-"/>
    <numFmt numFmtId="175" formatCode="0.0%"/>
    <numFmt numFmtId="176" formatCode="#,##0.00\ [$€-1]"/>
    <numFmt numFmtId="177" formatCode="#,##0.00\ _S_I_T"/>
    <numFmt numFmtId="178" formatCode="#,##0.00\ &quot;€&quot;"/>
  </numFmts>
  <fonts count="48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9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174" fontId="8" fillId="0" borderId="0" xfId="64" applyNumberFormat="1" applyFont="1" applyAlignment="1">
      <alignment horizontal="center" wrapText="1"/>
    </xf>
    <xf numFmtId="0" fontId="7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9" fontId="8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/>
    </xf>
    <xf numFmtId="10" fontId="8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0" xfId="42" applyFont="1" applyBorder="1" applyAlignment="1">
      <alignment horizontal="center"/>
      <protection/>
    </xf>
    <xf numFmtId="3" fontId="10" fillId="0" borderId="0" xfId="42" applyNumberFormat="1" applyFont="1" applyBorder="1" applyAlignment="1">
      <alignment horizontal="center"/>
      <protection/>
    </xf>
    <xf numFmtId="178" fontId="10" fillId="0" borderId="0" xfId="45" applyNumberFormat="1" applyFont="1" applyBorder="1" applyAlignment="1">
      <alignment horizontal="center"/>
      <protection/>
    </xf>
    <xf numFmtId="0" fontId="10" fillId="0" borderId="0" xfId="0" applyFont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 applyProtection="1">
      <alignment horizontal="center"/>
      <protection locked="0"/>
    </xf>
    <xf numFmtId="178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/>
    </xf>
    <xf numFmtId="178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2" fontId="12" fillId="0" borderId="0" xfId="0" applyNumberFormat="1" applyFont="1" applyBorder="1" applyAlignment="1">
      <alignment horizontal="left" vertical="top"/>
    </xf>
    <xf numFmtId="3" fontId="10" fillId="0" borderId="0" xfId="42" applyNumberFormat="1" applyFont="1" applyBorder="1" applyAlignment="1">
      <alignment/>
      <protection/>
    </xf>
    <xf numFmtId="178" fontId="10" fillId="0" borderId="0" xfId="45" applyNumberFormat="1" applyFont="1" applyBorder="1" applyAlignment="1">
      <alignment/>
      <protection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78" fontId="10" fillId="0" borderId="0" xfId="0" applyNumberFormat="1" applyFont="1" applyAlignment="1" applyProtection="1">
      <alignment/>
      <protection locked="0"/>
    </xf>
    <xf numFmtId="178" fontId="10" fillId="0" borderId="0" xfId="0" applyNumberFormat="1" applyFont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 applyProtection="1">
      <alignment/>
      <protection locked="0"/>
    </xf>
    <xf numFmtId="0" fontId="10" fillId="0" borderId="0" xfId="42" applyNumberFormat="1" applyFont="1" applyBorder="1" applyAlignment="1">
      <alignment vertical="top" wrapText="1"/>
      <protection/>
    </xf>
    <xf numFmtId="3" fontId="10" fillId="0" borderId="0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>
      <alignment horizontal="justify" vertical="top"/>
    </xf>
    <xf numFmtId="2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justify" vertical="top" wrapText="1"/>
    </xf>
    <xf numFmtId="1" fontId="10" fillId="0" borderId="0" xfId="42" applyNumberFormat="1" applyFont="1" applyBorder="1" applyAlignment="1">
      <alignment horizontal="center"/>
      <protection/>
    </xf>
    <xf numFmtId="2" fontId="10" fillId="0" borderId="0" xfId="0" applyNumberFormat="1" applyFont="1" applyBorder="1" applyAlignment="1">
      <alignment vertical="top"/>
    </xf>
    <xf numFmtId="17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42" applyNumberFormat="1" applyFont="1" applyBorder="1" applyAlignment="1">
      <alignment horizontal="justify" vertical="top" wrapText="1"/>
      <protection/>
    </xf>
    <xf numFmtId="0" fontId="10" fillId="0" borderId="0" xfId="42" applyNumberFormat="1" applyFont="1" applyBorder="1" applyAlignment="1">
      <alignment wrapText="1"/>
      <protection/>
    </xf>
    <xf numFmtId="0" fontId="10" fillId="0" borderId="0" xfId="45" applyNumberFormat="1" applyFont="1" applyBorder="1" applyAlignment="1">
      <alignment vertical="top"/>
      <protection/>
    </xf>
    <xf numFmtId="1" fontId="10" fillId="0" borderId="0" xfId="42" applyNumberFormat="1" applyFont="1" applyBorder="1" applyAlignment="1" applyProtection="1">
      <alignment/>
      <protection/>
    </xf>
    <xf numFmtId="49" fontId="10" fillId="0" borderId="0" xfId="41" applyNumberFormat="1" applyFont="1" applyBorder="1" applyAlignment="1">
      <alignment horizontal="justify" vertical="top" wrapText="1"/>
      <protection/>
    </xf>
    <xf numFmtId="0" fontId="10" fillId="0" borderId="0" xfId="41" applyFont="1" applyBorder="1" applyAlignment="1">
      <alignment horizontal="justify" vertical="top" wrapText="1"/>
      <protection/>
    </xf>
    <xf numFmtId="2" fontId="10" fillId="0" borderId="0" xfId="42" applyNumberFormat="1" applyFont="1" applyBorder="1" applyAlignment="1">
      <alignment horizontal="justify" vertical="top" wrapText="1"/>
      <protection/>
    </xf>
    <xf numFmtId="0" fontId="10" fillId="0" borderId="0" xfId="44" applyFont="1" applyFill="1" applyBorder="1" applyAlignment="1">
      <alignment horizontal="justify" vertical="top" wrapText="1"/>
      <protection/>
    </xf>
    <xf numFmtId="0" fontId="10" fillId="0" borderId="0" xfId="44" applyFont="1" applyBorder="1" applyAlignment="1">
      <alignment horizontal="justify" vertical="top" wrapText="1"/>
      <protection/>
    </xf>
    <xf numFmtId="178" fontId="10" fillId="0" borderId="0" xfId="44" applyNumberFormat="1" applyFont="1" applyBorder="1" applyAlignment="1">
      <alignment wrapText="1"/>
      <protection/>
    </xf>
    <xf numFmtId="9" fontId="10" fillId="0" borderId="0" xfId="42" applyNumberFormat="1" applyFont="1" applyBorder="1" applyAlignment="1" applyProtection="1">
      <alignment/>
      <protection/>
    </xf>
    <xf numFmtId="1" fontId="10" fillId="0" borderId="0" xfId="0" applyNumberFormat="1" applyFont="1" applyBorder="1" applyAlignment="1">
      <alignment/>
    </xf>
    <xf numFmtId="178" fontId="10" fillId="0" borderId="0" xfId="63" applyNumberFormat="1" applyFont="1" applyBorder="1" applyAlignment="1">
      <alignment/>
    </xf>
    <xf numFmtId="16" fontId="12" fillId="0" borderId="0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/>
    </xf>
    <xf numFmtId="0" fontId="10" fillId="0" borderId="11" xfId="42" applyNumberFormat="1" applyFont="1" applyBorder="1" applyAlignment="1">
      <alignment vertical="top" wrapText="1"/>
      <protection/>
    </xf>
    <xf numFmtId="3" fontId="10" fillId="0" borderId="11" xfId="0" applyNumberFormat="1" applyFont="1" applyBorder="1" applyAlignment="1">
      <alignment/>
    </xf>
    <xf numFmtId="178" fontId="10" fillId="0" borderId="11" xfId="63" applyNumberFormat="1" applyFont="1" applyBorder="1" applyAlignment="1">
      <alignment/>
    </xf>
    <xf numFmtId="178" fontId="10" fillId="0" borderId="11" xfId="0" applyNumberFormat="1" applyFont="1" applyBorder="1" applyAlignment="1">
      <alignment vertical="top"/>
    </xf>
    <xf numFmtId="0" fontId="12" fillId="0" borderId="11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178" fontId="1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178" fontId="0" fillId="0" borderId="11" xfId="0" applyNumberFormat="1" applyBorder="1" applyAlignment="1">
      <alignment/>
    </xf>
    <xf numFmtId="0" fontId="9" fillId="0" borderId="0" xfId="0" applyFont="1" applyAlignment="1">
      <alignment/>
    </xf>
    <xf numFmtId="171" fontId="0" fillId="0" borderId="0" xfId="64" applyFont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74" fontId="1" fillId="0" borderId="0" xfId="64" applyNumberFormat="1" applyFont="1" applyAlignment="1">
      <alignment wrapText="1"/>
    </xf>
    <xf numFmtId="4" fontId="1" fillId="0" borderId="0" xfId="64" applyNumberFormat="1" applyFont="1" applyAlignment="1">
      <alignment horizontal="right" wrapText="1"/>
    </xf>
    <xf numFmtId="178" fontId="8" fillId="0" borderId="0" xfId="64" applyNumberFormat="1" applyFont="1" applyAlignment="1">
      <alignment wrapText="1"/>
    </xf>
    <xf numFmtId="178" fontId="7" fillId="0" borderId="0" xfId="64" applyNumberFormat="1" applyFont="1" applyAlignment="1">
      <alignment wrapText="1"/>
    </xf>
    <xf numFmtId="178" fontId="7" fillId="0" borderId="0" xfId="0" applyNumberFormat="1" applyFont="1" applyAlignment="1">
      <alignment wrapText="1"/>
    </xf>
    <xf numFmtId="178" fontId="8" fillId="0" borderId="0" xfId="0" applyNumberFormat="1" applyFont="1" applyAlignment="1">
      <alignment wrapText="1"/>
    </xf>
    <xf numFmtId="178" fontId="8" fillId="0" borderId="0" xfId="0" applyNumberFormat="1" applyFont="1" applyAlignment="1">
      <alignment vertical="top" wrapText="1"/>
    </xf>
    <xf numFmtId="178" fontId="1" fillId="0" borderId="0" xfId="64" applyNumberFormat="1" applyFont="1" applyAlignment="1">
      <alignment wrapText="1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3" xfId="41"/>
    <cellStyle name="Navadno_.s1720" xfId="42"/>
    <cellStyle name="Nevtralno" xfId="43"/>
    <cellStyle name="Normal 2" xfId="44"/>
    <cellStyle name="Normal_Popis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Valuta 2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view="pageBreakPreview" zoomScale="60" zoomScalePageLayoutView="0" workbookViewId="0" topLeftCell="A4">
      <selection activeCell="D31" sqref="D31"/>
    </sheetView>
  </sheetViews>
  <sheetFormatPr defaultColWidth="9.00390625" defaultRowHeight="12.75"/>
  <cols>
    <col min="1" max="1" width="11.00390625" style="1" customWidth="1"/>
    <col min="2" max="2" width="5.375" style="1" customWidth="1"/>
    <col min="3" max="3" width="13.125" style="1" customWidth="1"/>
    <col min="4" max="4" width="25.625" style="1" customWidth="1"/>
    <col min="5" max="16384" width="9.125" style="1" customWidth="1"/>
  </cols>
  <sheetData>
    <row r="2" ht="15">
      <c r="B2" s="1" t="s">
        <v>15</v>
      </c>
    </row>
    <row r="3" ht="15">
      <c r="B3" s="1" t="s">
        <v>16</v>
      </c>
    </row>
    <row r="4" ht="15">
      <c r="B4" s="1" t="s">
        <v>17</v>
      </c>
    </row>
    <row r="11" spans="3:4" ht="15.75">
      <c r="C11" s="1" t="s">
        <v>1</v>
      </c>
      <c r="D11" s="2" t="s">
        <v>18</v>
      </c>
    </row>
    <row r="12" ht="15.75">
      <c r="D12" s="2" t="s">
        <v>19</v>
      </c>
    </row>
    <row r="13" ht="15.75">
      <c r="D13" s="2" t="s">
        <v>17</v>
      </c>
    </row>
    <row r="14" ht="15.75">
      <c r="D14" s="2"/>
    </row>
    <row r="15" ht="15.75">
      <c r="D15" s="2"/>
    </row>
    <row r="16" ht="15.75">
      <c r="D16" s="2"/>
    </row>
    <row r="17" ht="15.75">
      <c r="D17" s="2"/>
    </row>
    <row r="20" spans="3:4" ht="18.75">
      <c r="C20" s="1" t="s">
        <v>2</v>
      </c>
      <c r="D20" s="5" t="s">
        <v>25</v>
      </c>
    </row>
    <row r="21" ht="18.75">
      <c r="D21" s="5" t="s">
        <v>20</v>
      </c>
    </row>
    <row r="22" ht="18.75">
      <c r="D22" s="5" t="s">
        <v>21</v>
      </c>
    </row>
    <row r="23" ht="15.75">
      <c r="D23" s="2"/>
    </row>
    <row r="24" ht="15.75">
      <c r="D24" s="2"/>
    </row>
    <row r="25" ht="15.75">
      <c r="D25" s="2"/>
    </row>
    <row r="26" ht="15.75">
      <c r="D26" s="2"/>
    </row>
    <row r="29" spans="3:4" ht="26.25">
      <c r="C29" s="1" t="s">
        <v>3</v>
      </c>
      <c r="D29" s="3" t="s">
        <v>22</v>
      </c>
    </row>
    <row r="30" ht="26.25">
      <c r="D30" s="3" t="s">
        <v>23</v>
      </c>
    </row>
    <row r="31" ht="15.75">
      <c r="D31" s="16" t="s">
        <v>129</v>
      </c>
    </row>
    <row r="38" ht="15">
      <c r="C38" s="1" t="s">
        <v>6</v>
      </c>
    </row>
    <row r="39" ht="15">
      <c r="C39" s="6">
        <v>43009</v>
      </c>
    </row>
    <row r="42" spans="3:7" ht="15">
      <c r="C42" s="1" t="s">
        <v>7</v>
      </c>
      <c r="G42" s="4"/>
    </row>
    <row r="43" ht="15">
      <c r="C43" s="14" t="s">
        <v>4</v>
      </c>
    </row>
  </sheetData>
  <sheetProtection/>
  <printOptions/>
  <pageMargins left="0.75" right="0.75" top="0.984251968503937" bottom="0.984251968503937" header="0.1968503937007874" footer="0.1968503937007874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9.75390625" style="8" customWidth="1"/>
    <col min="2" max="2" width="46.875" style="8" customWidth="1"/>
    <col min="3" max="3" width="8.75390625" style="8" customWidth="1"/>
    <col min="4" max="4" width="16.75390625" style="105" customWidth="1"/>
    <col min="5" max="16384" width="9.125" style="8" customWidth="1"/>
  </cols>
  <sheetData>
    <row r="1" spans="2:4" ht="15.75">
      <c r="B1" s="7" t="s">
        <v>14</v>
      </c>
      <c r="C1" s="7"/>
      <c r="D1" s="102"/>
    </row>
    <row r="2" spans="2:4" ht="15.75">
      <c r="B2" s="7"/>
      <c r="C2" s="7"/>
      <c r="D2" s="103"/>
    </row>
    <row r="3" spans="2:4" ht="15.75">
      <c r="B3" s="7"/>
      <c r="C3" s="7"/>
      <c r="D3" s="102"/>
    </row>
    <row r="4" spans="1:4" ht="15.75">
      <c r="A4" s="7"/>
      <c r="B4" s="7" t="str">
        <f>+depon!B1</f>
        <v>OBMOĆJE 3-2</v>
      </c>
      <c r="D4" s="102"/>
    </row>
    <row r="5" spans="1:4" ht="15.75">
      <c r="A5" s="7"/>
      <c r="B5" s="7"/>
      <c r="D5" s="102"/>
    </row>
    <row r="6" spans="1:4" ht="15.75">
      <c r="A6" s="7"/>
      <c r="B6" s="7" t="str">
        <f>+depon!B3</f>
        <v>IZRAVNAVA ZEMELJSKIH MAS</v>
      </c>
      <c r="D6" s="102">
        <f>+depon!F14</f>
        <v>0</v>
      </c>
    </row>
    <row r="7" spans="1:4" ht="15.75">
      <c r="A7" s="7"/>
      <c r="B7" s="7"/>
      <c r="D7" s="102"/>
    </row>
    <row r="8" spans="1:4" ht="16.5" customHeight="1">
      <c r="A8" s="7"/>
      <c r="B8" s="7" t="str">
        <f>+depon!B16</f>
        <v>IZDELAVA TESNILNEGA SLOJA </v>
      </c>
      <c r="D8" s="102">
        <f>+depon!F38</f>
        <v>0</v>
      </c>
    </row>
    <row r="9" spans="1:4" ht="15.75">
      <c r="A9" s="7"/>
      <c r="B9" s="7"/>
      <c r="D9" s="102"/>
    </row>
    <row r="10" spans="1:4" ht="15.75">
      <c r="A10" s="7"/>
      <c r="B10" s="7" t="str">
        <f>+depon!B40</f>
        <v>SIDRANJE </v>
      </c>
      <c r="D10" s="102">
        <f>+depon!F49</f>
        <v>0</v>
      </c>
    </row>
    <row r="11" spans="1:4" ht="15.75">
      <c r="A11" s="7"/>
      <c r="B11" s="7"/>
      <c r="D11" s="102"/>
    </row>
    <row r="12" spans="1:4" ht="15.75">
      <c r="A12" s="7"/>
      <c r="B12" s="7" t="str">
        <f>+depon!B51</f>
        <v>ZATRAVITEV</v>
      </c>
      <c r="D12" s="102">
        <f>+depon!F53</f>
        <v>0</v>
      </c>
    </row>
    <row r="13" spans="1:4" ht="15.75">
      <c r="A13" s="7"/>
      <c r="B13" s="7"/>
      <c r="D13" s="102"/>
    </row>
    <row r="14" spans="1:4" ht="15.75">
      <c r="A14" s="7"/>
      <c r="B14" s="7" t="s">
        <v>35</v>
      </c>
      <c r="D14" s="102">
        <f>+depon!F72</f>
        <v>0</v>
      </c>
    </row>
    <row r="15" spans="1:4" ht="15.75">
      <c r="A15" s="7"/>
      <c r="B15" s="7"/>
      <c r="D15" s="102"/>
    </row>
    <row r="16" spans="1:4" ht="15.75">
      <c r="A16" s="7"/>
      <c r="B16" s="7" t="s">
        <v>118</v>
      </c>
      <c r="D16" s="102">
        <f>+depon!F80</f>
        <v>0</v>
      </c>
    </row>
    <row r="17" spans="1:4" ht="15.75">
      <c r="A17" s="7"/>
      <c r="B17" s="7"/>
      <c r="D17" s="102"/>
    </row>
    <row r="18" spans="1:4" ht="15.75">
      <c r="A18" s="7"/>
      <c r="B18" s="7" t="s">
        <v>40</v>
      </c>
      <c r="D18" s="102">
        <f>strojne!F97</f>
        <v>0</v>
      </c>
    </row>
    <row r="19" spans="1:4" ht="15.75">
      <c r="A19" s="7"/>
      <c r="B19" s="7"/>
      <c r="D19" s="102"/>
    </row>
    <row r="20" spans="2:4" ht="15.75">
      <c r="B20" s="8" t="s">
        <v>9</v>
      </c>
      <c r="D20" s="104">
        <f>SUM(D4:D19)</f>
        <v>0</v>
      </c>
    </row>
    <row r="21" spans="2:4" ht="15.75">
      <c r="B21" s="8" t="s">
        <v>127</v>
      </c>
      <c r="D21" s="105">
        <f>0.22*D20</f>
        <v>0</v>
      </c>
    </row>
    <row r="22" spans="2:4" ht="15.75">
      <c r="B22" s="8" t="s">
        <v>128</v>
      </c>
      <c r="D22" s="105">
        <f>SUM(D20:D21)</f>
        <v>0</v>
      </c>
    </row>
    <row r="23" spans="2:4" ht="15.75" hidden="1">
      <c r="B23" s="7"/>
      <c r="C23" s="7"/>
      <c r="D23" s="104"/>
    </row>
    <row r="24" ht="15.75" hidden="1"/>
    <row r="25" spans="2:4" ht="15.75" hidden="1">
      <c r="B25" s="7"/>
      <c r="C25" s="7"/>
      <c r="D25" s="104"/>
    </row>
    <row r="28" ht="15.75">
      <c r="C28" s="13"/>
    </row>
    <row r="29" ht="15.75">
      <c r="C29" s="13"/>
    </row>
    <row r="30" ht="15.75">
      <c r="C30" s="15"/>
    </row>
    <row r="31" ht="15.75">
      <c r="C31" s="15"/>
    </row>
    <row r="32" ht="15.75">
      <c r="C32" s="15"/>
    </row>
    <row r="33" ht="15.75">
      <c r="C33" s="15"/>
    </row>
    <row r="34" ht="15.75">
      <c r="D34" s="104"/>
    </row>
    <row r="35" ht="15.75">
      <c r="C35" s="13"/>
    </row>
    <row r="36" ht="15.75">
      <c r="D36" s="104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110" zoomScaleSheetLayoutView="110" workbookViewId="0" topLeftCell="A19">
      <selection activeCell="D30" sqref="D30:D32"/>
    </sheetView>
  </sheetViews>
  <sheetFormatPr defaultColWidth="9.00390625" defaultRowHeight="12.75"/>
  <cols>
    <col min="1" max="1" width="9.75390625" style="8" customWidth="1"/>
    <col min="2" max="2" width="38.875" style="8" customWidth="1"/>
    <col min="3" max="3" width="7.00390625" style="9" customWidth="1"/>
    <col min="4" max="4" width="9.75390625" style="10" customWidth="1"/>
    <col min="5" max="5" width="10.25390625" style="12" customWidth="1"/>
    <col min="6" max="6" width="12.125" style="105" customWidth="1"/>
    <col min="7" max="7" width="9.125" style="8" customWidth="1"/>
    <col min="8" max="8" width="11.625" style="8" bestFit="1" customWidth="1"/>
    <col min="9" max="9" width="9.125" style="8" customWidth="1"/>
    <col min="10" max="10" width="11.625" style="8" bestFit="1" customWidth="1"/>
    <col min="11" max="16384" width="9.125" style="8" customWidth="1"/>
  </cols>
  <sheetData>
    <row r="1" spans="2:3" ht="15.75">
      <c r="B1" s="7" t="s">
        <v>115</v>
      </c>
      <c r="C1" s="11"/>
    </row>
    <row r="3" spans="2:3" ht="15.75">
      <c r="B3" s="7" t="s">
        <v>11</v>
      </c>
      <c r="C3" s="11"/>
    </row>
    <row r="4" spans="2:3" ht="15.75">
      <c r="B4" s="7"/>
      <c r="C4" s="11"/>
    </row>
    <row r="5" spans="1:6" ht="63">
      <c r="A5" s="8">
        <v>1</v>
      </c>
      <c r="B5" s="8" t="s">
        <v>39</v>
      </c>
      <c r="C5" s="9" t="s">
        <v>8</v>
      </c>
      <c r="D5" s="10">
        <v>2</v>
      </c>
      <c r="F5" s="105">
        <f>+D5*E5</f>
        <v>0</v>
      </c>
    </row>
    <row r="7" spans="1:6" ht="78.75">
      <c r="A7" s="8">
        <f>+A5+1</f>
        <v>2</v>
      </c>
      <c r="B7" s="8" t="s">
        <v>27</v>
      </c>
      <c r="C7" s="9" t="s">
        <v>8</v>
      </c>
      <c r="D7" s="10">
        <v>15320</v>
      </c>
      <c r="E7" s="8"/>
      <c r="F7" s="106"/>
    </row>
    <row r="8" spans="2:6" ht="15.75">
      <c r="B8" s="8" t="s">
        <v>108</v>
      </c>
      <c r="C8" s="9" t="s">
        <v>8</v>
      </c>
      <c r="D8" s="10">
        <f>+D7*0.5</f>
        <v>7660</v>
      </c>
      <c r="F8" s="105">
        <f>+D8*E8</f>
        <v>0</v>
      </c>
    </row>
    <row r="9" spans="2:6" ht="15.75">
      <c r="B9" s="8" t="s">
        <v>109</v>
      </c>
      <c r="C9" s="9" t="s">
        <v>8</v>
      </c>
      <c r="D9" s="10">
        <f>+D7*0.1</f>
        <v>1532</v>
      </c>
      <c r="F9" s="105">
        <f>+D9*E9</f>
        <v>0</v>
      </c>
    </row>
    <row r="11" spans="1:6" ht="15.75">
      <c r="A11" s="8">
        <f>+A7+1</f>
        <v>3</v>
      </c>
      <c r="B11" s="8" t="s">
        <v>12</v>
      </c>
      <c r="C11" s="9" t="s">
        <v>5</v>
      </c>
      <c r="D11" s="10">
        <f>+IZMERE!F22</f>
        <v>9000</v>
      </c>
      <c r="F11" s="105">
        <f>+D11*E11</f>
        <v>0</v>
      </c>
    </row>
    <row r="14" spans="2:6" ht="15.75">
      <c r="B14" s="8" t="s">
        <v>9</v>
      </c>
      <c r="F14" s="105">
        <f>SUM(F4:F13)</f>
        <v>0</v>
      </c>
    </row>
    <row r="16" ht="15.75">
      <c r="B16" s="7" t="s">
        <v>24</v>
      </c>
    </row>
    <row r="18" spans="1:6" ht="31.5">
      <c r="A18" s="8">
        <v>1</v>
      </c>
      <c r="B18" s="8" t="s">
        <v>26</v>
      </c>
      <c r="C18" s="9" t="s">
        <v>5</v>
      </c>
      <c r="D18" s="10">
        <v>1</v>
      </c>
      <c r="F18" s="105">
        <f>+D18*E18</f>
        <v>0</v>
      </c>
    </row>
    <row r="20" spans="1:2" ht="15.75">
      <c r="A20" s="8">
        <v>2</v>
      </c>
      <c r="B20" s="8" t="s">
        <v>28</v>
      </c>
    </row>
    <row r="22" spans="2:6" ht="94.5">
      <c r="B22" s="8" t="s">
        <v>123</v>
      </c>
      <c r="C22" s="8"/>
      <c r="D22" s="8"/>
      <c r="E22" s="8"/>
      <c r="F22" s="106"/>
    </row>
    <row r="23" spans="2:6" ht="15.75">
      <c r="B23" s="8" t="s">
        <v>116</v>
      </c>
      <c r="C23" s="9" t="s">
        <v>5</v>
      </c>
      <c r="D23" s="10">
        <f>+IZMERE!H22</f>
        <v>6408.75</v>
      </c>
      <c r="F23" s="105">
        <f>+D23*E23</f>
        <v>0</v>
      </c>
    </row>
    <row r="24" spans="2:6" ht="15.75">
      <c r="B24" s="8" t="s">
        <v>117</v>
      </c>
      <c r="C24" s="9" t="s">
        <v>5</v>
      </c>
      <c r="D24" s="10">
        <v>4410</v>
      </c>
      <c r="F24" s="105">
        <f>+D24*E24</f>
        <v>0</v>
      </c>
    </row>
    <row r="26" spans="2:6" ht="94.5">
      <c r="B26" s="8" t="s">
        <v>124</v>
      </c>
      <c r="C26" s="8"/>
      <c r="D26" s="8"/>
      <c r="E26" s="8"/>
      <c r="F26" s="106"/>
    </row>
    <row r="27" spans="2:6" ht="15.75">
      <c r="B27" s="8" t="s">
        <v>116</v>
      </c>
      <c r="C27" s="9" t="s">
        <v>5</v>
      </c>
      <c r="D27" s="10">
        <f>+IZMERE!G22</f>
        <v>9981.25</v>
      </c>
      <c r="F27" s="105">
        <f>+D27*E27</f>
        <v>0</v>
      </c>
    </row>
    <row r="28" spans="2:6" ht="15.75">
      <c r="B28" s="8" t="s">
        <v>117</v>
      </c>
      <c r="C28" s="9" t="s">
        <v>5</v>
      </c>
      <c r="D28" s="10">
        <f>D27-11533*0.5*0.95</f>
        <v>4503.075</v>
      </c>
      <c r="F28" s="105">
        <f>+D28*E28</f>
        <v>0</v>
      </c>
    </row>
    <row r="30" spans="2:6" ht="141.75">
      <c r="B30" s="8" t="s">
        <v>131</v>
      </c>
      <c r="C30" s="8"/>
      <c r="D30" s="8"/>
      <c r="E30" s="8"/>
      <c r="F30" s="106"/>
    </row>
    <row r="31" spans="2:6" ht="15.75">
      <c r="B31" s="8" t="s">
        <v>116</v>
      </c>
      <c r="C31" s="9" t="s">
        <v>5</v>
      </c>
      <c r="D31" s="10">
        <f>+D27</f>
        <v>9981.25</v>
      </c>
      <c r="F31" s="105">
        <f>+D31*E31</f>
        <v>0</v>
      </c>
    </row>
    <row r="32" spans="2:6" ht="15.75">
      <c r="B32" s="8" t="s">
        <v>117</v>
      </c>
      <c r="C32" s="9" t="s">
        <v>5</v>
      </c>
      <c r="D32" s="10">
        <f>+D31-4700*0.95</f>
        <v>5516.25</v>
      </c>
      <c r="F32" s="105">
        <f>+D32*E32</f>
        <v>0</v>
      </c>
    </row>
    <row r="34" ht="94.5">
      <c r="B34" s="8" t="s">
        <v>125</v>
      </c>
    </row>
    <row r="35" spans="2:6" ht="15.75">
      <c r="B35" s="8" t="s">
        <v>116</v>
      </c>
      <c r="C35" s="9" t="s">
        <v>5</v>
      </c>
      <c r="D35" s="10">
        <f>+D27</f>
        <v>9981.25</v>
      </c>
      <c r="F35" s="105">
        <f>+D35*E35</f>
        <v>0</v>
      </c>
    </row>
    <row r="36" spans="2:6" ht="15.75">
      <c r="B36" s="8" t="s">
        <v>117</v>
      </c>
      <c r="C36" s="9" t="s">
        <v>5</v>
      </c>
      <c r="D36" s="10">
        <f>D35-11533*0.5*0.95</f>
        <v>4503.075</v>
      </c>
      <c r="F36" s="105">
        <f>+D36*E36</f>
        <v>0</v>
      </c>
    </row>
    <row r="38" spans="2:6" ht="15.75">
      <c r="B38" s="8" t="s">
        <v>9</v>
      </c>
      <c r="F38" s="105">
        <f>SUM(F18:F37)</f>
        <v>0</v>
      </c>
    </row>
    <row r="40" ht="15.75">
      <c r="B40" s="7" t="s">
        <v>111</v>
      </c>
    </row>
    <row r="42" spans="1:6" ht="30">
      <c r="A42" s="97">
        <f>+A40+1</f>
        <v>1</v>
      </c>
      <c r="B42" s="98" t="s">
        <v>113</v>
      </c>
      <c r="C42" s="99" t="s">
        <v>0</v>
      </c>
      <c r="D42" s="100">
        <f>17+98</f>
        <v>115</v>
      </c>
      <c r="E42" s="101"/>
      <c r="F42" s="107">
        <f>+D42*E42</f>
        <v>0</v>
      </c>
    </row>
    <row r="44" spans="1:6" ht="30">
      <c r="A44" s="97">
        <f>+A42+1</f>
        <v>2</v>
      </c>
      <c r="B44" s="98" t="s">
        <v>114</v>
      </c>
      <c r="C44" s="99" t="s">
        <v>0</v>
      </c>
      <c r="D44" s="100">
        <f>109+99</f>
        <v>208</v>
      </c>
      <c r="E44" s="101"/>
      <c r="F44" s="107">
        <f>+D44*E44</f>
        <v>0</v>
      </c>
    </row>
    <row r="46" spans="1:6" ht="30">
      <c r="A46" s="8">
        <f>+A44+1</f>
        <v>3</v>
      </c>
      <c r="B46" s="98" t="s">
        <v>112</v>
      </c>
      <c r="C46" s="99" t="s">
        <v>0</v>
      </c>
      <c r="D46" s="100">
        <v>2</v>
      </c>
      <c r="E46" s="101"/>
      <c r="F46" s="107">
        <f>+D46*E46</f>
        <v>0</v>
      </c>
    </row>
    <row r="47" spans="2:6" ht="15.75">
      <c r="B47" s="98"/>
      <c r="C47" s="99"/>
      <c r="D47" s="100"/>
      <c r="E47" s="101"/>
      <c r="F47" s="107"/>
    </row>
    <row r="49" spans="2:6" ht="15.75">
      <c r="B49" s="8" t="s">
        <v>9</v>
      </c>
      <c r="F49" s="105">
        <f>SUM(F42:F48)</f>
        <v>0</v>
      </c>
    </row>
    <row r="51" ht="15.75">
      <c r="B51" s="7" t="s">
        <v>130</v>
      </c>
    </row>
    <row r="53" spans="1:6" ht="15.75">
      <c r="A53" s="8">
        <v>1</v>
      </c>
      <c r="B53" s="8" t="s">
        <v>13</v>
      </c>
      <c r="C53" s="9" t="s">
        <v>5</v>
      </c>
      <c r="D53" s="10">
        <v>17000</v>
      </c>
      <c r="F53" s="105">
        <f>+D53*E53</f>
        <v>0</v>
      </c>
    </row>
    <row r="55" spans="2:6" ht="15.75">
      <c r="B55" s="8" t="s">
        <v>9</v>
      </c>
      <c r="F55" s="105">
        <f>SUM(F53:F54)</f>
        <v>0</v>
      </c>
    </row>
    <row r="58" ht="33" customHeight="1">
      <c r="B58" s="7" t="s">
        <v>29</v>
      </c>
    </row>
    <row r="60" spans="1:6" ht="15.75">
      <c r="A60" s="8">
        <v>1</v>
      </c>
      <c r="B60" s="8" t="s">
        <v>30</v>
      </c>
      <c r="C60" s="9" t="s">
        <v>5</v>
      </c>
      <c r="D60" s="10">
        <v>590</v>
      </c>
      <c r="F60" s="105">
        <f>+D60*E60</f>
        <v>0</v>
      </c>
    </row>
    <row r="62" spans="1:6" ht="15.75">
      <c r="A62" s="8">
        <f>+A60+1</f>
        <v>2</v>
      </c>
      <c r="B62" s="8" t="s">
        <v>31</v>
      </c>
      <c r="C62" s="9" t="s">
        <v>5</v>
      </c>
      <c r="D62" s="10">
        <f>+D60*1.05</f>
        <v>619.5</v>
      </c>
      <c r="F62" s="105">
        <f>+D62*E62</f>
        <v>0</v>
      </c>
    </row>
    <row r="64" spans="1:6" ht="47.25">
      <c r="A64" s="8">
        <f>+A62+1</f>
        <v>3</v>
      </c>
      <c r="B64" s="8" t="s">
        <v>38</v>
      </c>
      <c r="C64" s="9" t="s">
        <v>8</v>
      </c>
      <c r="D64" s="10">
        <f>+D60*0.3</f>
        <v>177</v>
      </c>
      <c r="F64" s="105">
        <f>+D64*E64</f>
        <v>0</v>
      </c>
    </row>
    <row r="66" spans="1:6" ht="15.75">
      <c r="A66" s="8">
        <f>+A64+1</f>
        <v>4</v>
      </c>
      <c r="B66" s="8" t="s">
        <v>32</v>
      </c>
      <c r="C66" s="9" t="s">
        <v>0</v>
      </c>
      <c r="D66" s="10">
        <v>180</v>
      </c>
      <c r="F66" s="105">
        <f>+D66*E66</f>
        <v>0</v>
      </c>
    </row>
    <row r="68" spans="1:6" ht="31.5">
      <c r="A68" s="8">
        <f>+A66+1</f>
        <v>5</v>
      </c>
      <c r="B68" s="8" t="s">
        <v>33</v>
      </c>
      <c r="C68" s="9" t="s">
        <v>0</v>
      </c>
      <c r="D68" s="10">
        <v>60</v>
      </c>
      <c r="F68" s="105">
        <f>+D68*E68</f>
        <v>0</v>
      </c>
    </row>
    <row r="70" spans="1:6" ht="63">
      <c r="A70" s="8">
        <f>+A68+1</f>
        <v>6</v>
      </c>
      <c r="B70" s="8" t="s">
        <v>34</v>
      </c>
      <c r="C70" s="9" t="s">
        <v>10</v>
      </c>
      <c r="D70" s="10">
        <f>+D68/4</f>
        <v>15</v>
      </c>
      <c r="F70" s="105">
        <f>+D70*E70</f>
        <v>0</v>
      </c>
    </row>
    <row r="72" spans="2:6" ht="15.75">
      <c r="B72" s="8" t="s">
        <v>9</v>
      </c>
      <c r="F72" s="105">
        <f>SUM(F59:F71)</f>
        <v>0</v>
      </c>
    </row>
    <row r="74" ht="15.75">
      <c r="B74" s="7" t="s">
        <v>118</v>
      </c>
    </row>
    <row r="76" spans="1:6" ht="110.25">
      <c r="A76" s="8">
        <v>1</v>
      </c>
      <c r="B76" s="8" t="s">
        <v>126</v>
      </c>
      <c r="C76" s="98" t="s">
        <v>0</v>
      </c>
      <c r="D76" s="99">
        <f>22+50</f>
        <v>72</v>
      </c>
      <c r="E76" s="101"/>
      <c r="F76" s="107">
        <f>+D76*E76</f>
        <v>0</v>
      </c>
    </row>
    <row r="78" spans="1:6" ht="31.5">
      <c r="A78" s="97">
        <f>+A76+1</f>
        <v>2</v>
      </c>
      <c r="B78" s="8" t="s">
        <v>119</v>
      </c>
      <c r="C78" s="98" t="s">
        <v>10</v>
      </c>
      <c r="D78" s="99">
        <v>8</v>
      </c>
      <c r="E78" s="101"/>
      <c r="F78" s="107">
        <f>+D78*E78</f>
        <v>0</v>
      </c>
    </row>
    <row r="80" spans="2:6" ht="15.75">
      <c r="B80" s="8" t="s">
        <v>9</v>
      </c>
      <c r="F80" s="105">
        <f>SUM(F75:F79)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5" max="255" man="1"/>
    <brk id="49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="60" zoomScalePageLayoutView="0" workbookViewId="0" topLeftCell="A28">
      <selection activeCell="E13" sqref="E13:E34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3" width="5.75390625" style="0" customWidth="1"/>
    <col min="4" max="4" width="6.25390625" style="0" customWidth="1"/>
    <col min="5" max="6" width="11.75390625" style="0" customWidth="1"/>
  </cols>
  <sheetData>
    <row r="1" spans="1:2" ht="12.75">
      <c r="A1" s="17" t="s">
        <v>41</v>
      </c>
      <c r="B1" s="18" t="s">
        <v>40</v>
      </c>
    </row>
    <row r="2" spans="1:2" ht="12.75">
      <c r="A2" s="17"/>
      <c r="B2" s="18"/>
    </row>
    <row r="3" spans="1:6" ht="12.75">
      <c r="A3" s="20">
        <v>1</v>
      </c>
      <c r="B3" s="21" t="s">
        <v>42</v>
      </c>
      <c r="C3" s="22"/>
      <c r="D3" s="23"/>
      <c r="E3" s="24"/>
      <c r="F3" s="24"/>
    </row>
    <row r="4" spans="1:6" ht="12.75">
      <c r="A4" s="20"/>
      <c r="B4" s="25" t="s">
        <v>43</v>
      </c>
      <c r="C4" s="22"/>
      <c r="D4" s="23"/>
      <c r="E4" s="24"/>
      <c r="F4" s="24"/>
    </row>
    <row r="5" spans="1:6" ht="38.25">
      <c r="A5" s="20"/>
      <c r="B5" s="25" t="s">
        <v>44</v>
      </c>
      <c r="C5" s="22"/>
      <c r="D5" s="23"/>
      <c r="E5" s="24"/>
      <c r="F5" s="24"/>
    </row>
    <row r="6" spans="1:6" ht="63.75">
      <c r="A6" s="20"/>
      <c r="B6" s="25" t="s">
        <v>45</v>
      </c>
      <c r="C6" s="22"/>
      <c r="D6" s="23"/>
      <c r="E6" s="24"/>
      <c r="F6" s="24"/>
    </row>
    <row r="7" spans="1:6" ht="38.25">
      <c r="A7" s="20"/>
      <c r="B7" s="25" t="s">
        <v>46</v>
      </c>
      <c r="C7" s="22"/>
      <c r="D7" s="23"/>
      <c r="E7" s="24"/>
      <c r="F7" s="24"/>
    </row>
    <row r="8" spans="1:6" ht="12.75">
      <c r="A8" s="20"/>
      <c r="B8" s="21"/>
      <c r="C8" s="22"/>
      <c r="D8" s="23"/>
      <c r="E8" s="24"/>
      <c r="F8" s="24"/>
    </row>
    <row r="9" spans="1:6" ht="12.75">
      <c r="A9" s="26" t="s">
        <v>47</v>
      </c>
      <c r="B9" s="26" t="s">
        <v>48</v>
      </c>
      <c r="C9" s="27" t="s">
        <v>49</v>
      </c>
      <c r="D9" s="28" t="s">
        <v>36</v>
      </c>
      <c r="E9" s="29" t="s">
        <v>50</v>
      </c>
      <c r="F9" s="30" t="s">
        <v>91</v>
      </c>
    </row>
    <row r="10" spans="1:6" ht="12.75">
      <c r="A10" s="31"/>
      <c r="B10" s="31"/>
      <c r="C10" s="19"/>
      <c r="D10" s="32"/>
      <c r="E10" s="33"/>
      <c r="F10" s="34"/>
    </row>
    <row r="11" spans="1:6" ht="12.75">
      <c r="A11" s="77"/>
      <c r="B11" s="21" t="s">
        <v>51</v>
      </c>
      <c r="C11" s="22"/>
      <c r="D11" s="23"/>
      <c r="E11" s="24"/>
      <c r="F11" s="24"/>
    </row>
    <row r="12" spans="1:6" ht="12.75">
      <c r="A12" s="35"/>
      <c r="B12" s="36"/>
      <c r="C12" s="36"/>
      <c r="D12" s="37"/>
      <c r="E12" s="38"/>
      <c r="F12" s="38"/>
    </row>
    <row r="13" spans="1:6" ht="25.5">
      <c r="A13" s="39">
        <v>1</v>
      </c>
      <c r="B13" s="25" t="s">
        <v>52</v>
      </c>
      <c r="C13" s="40" t="s">
        <v>53</v>
      </c>
      <c r="D13" s="41">
        <v>690</v>
      </c>
      <c r="E13" s="42"/>
      <c r="F13" s="43">
        <f>D13*E13</f>
        <v>0</v>
      </c>
    </row>
    <row r="14" spans="1:6" ht="12.75">
      <c r="A14" s="39"/>
      <c r="B14" s="25"/>
      <c r="C14" s="40"/>
      <c r="D14" s="41"/>
      <c r="E14" s="42"/>
      <c r="F14" s="43"/>
    </row>
    <row r="15" spans="1:6" ht="25.5">
      <c r="A15" s="39">
        <v>2</v>
      </c>
      <c r="B15" s="25" t="s">
        <v>54</v>
      </c>
      <c r="C15" s="40" t="s">
        <v>53</v>
      </c>
      <c r="D15" s="41">
        <v>80</v>
      </c>
      <c r="E15" s="42"/>
      <c r="F15" s="43">
        <f>D15*E15</f>
        <v>0</v>
      </c>
    </row>
    <row r="16" spans="1:6" ht="12.75">
      <c r="A16" s="39"/>
      <c r="B16" s="25"/>
      <c r="C16" s="40"/>
      <c r="D16" s="41"/>
      <c r="E16" s="42"/>
      <c r="F16" s="43"/>
    </row>
    <row r="17" spans="1:6" ht="102">
      <c r="A17" s="44">
        <v>3</v>
      </c>
      <c r="B17" s="45" t="s">
        <v>55</v>
      </c>
      <c r="C17" s="46"/>
      <c r="D17" s="47"/>
      <c r="E17" s="48"/>
      <c r="F17" s="43"/>
    </row>
    <row r="18" spans="1:6" ht="25.5">
      <c r="A18" s="44"/>
      <c r="B18" s="45" t="s">
        <v>56</v>
      </c>
      <c r="C18" s="46"/>
      <c r="D18" s="47"/>
      <c r="E18" s="48"/>
      <c r="F18" s="43"/>
    </row>
    <row r="19" spans="1:6" ht="12.75">
      <c r="A19" s="44"/>
      <c r="B19" s="45" t="s">
        <v>57</v>
      </c>
      <c r="C19" s="46" t="s">
        <v>8</v>
      </c>
      <c r="D19" s="47">
        <f>+D13*0.5*0.66</f>
        <v>227.70000000000002</v>
      </c>
      <c r="E19" s="48"/>
      <c r="F19" s="43">
        <f>D19*E19</f>
        <v>0</v>
      </c>
    </row>
    <row r="20" spans="1:6" ht="12.75">
      <c r="A20" s="44"/>
      <c r="B20" s="45" t="s">
        <v>58</v>
      </c>
      <c r="C20" s="46" t="s">
        <v>8</v>
      </c>
      <c r="D20" s="47">
        <f>+D19/2</f>
        <v>113.85000000000001</v>
      </c>
      <c r="E20" s="48"/>
      <c r="F20" s="43">
        <f>D20*E20</f>
        <v>0</v>
      </c>
    </row>
    <row r="21" spans="1:6" ht="12.75">
      <c r="A21" s="44"/>
      <c r="B21" s="45"/>
      <c r="C21" s="46"/>
      <c r="D21" s="47"/>
      <c r="E21" s="48"/>
      <c r="F21" s="43"/>
    </row>
    <row r="22" spans="1:6" ht="25.5">
      <c r="A22" s="39">
        <v>4</v>
      </c>
      <c r="B22" s="25" t="s">
        <v>59</v>
      </c>
      <c r="C22" s="40" t="s">
        <v>5</v>
      </c>
      <c r="D22" s="41">
        <f>+D13*0.6</f>
        <v>414</v>
      </c>
      <c r="E22" s="42"/>
      <c r="F22" s="43">
        <f>D22*E22</f>
        <v>0</v>
      </c>
    </row>
    <row r="23" spans="1:6" ht="12.75">
      <c r="A23" s="39"/>
      <c r="B23" s="25"/>
      <c r="C23" s="40"/>
      <c r="D23" s="41"/>
      <c r="E23" s="42"/>
      <c r="F23" s="43"/>
    </row>
    <row r="24" spans="1:6" ht="63.75">
      <c r="A24" s="44">
        <f>+A22+1</f>
        <v>5</v>
      </c>
      <c r="B24" s="45" t="s">
        <v>60</v>
      </c>
      <c r="C24" s="46" t="s">
        <v>8</v>
      </c>
      <c r="D24" s="47">
        <f>+D13*0.24</f>
        <v>165.6</v>
      </c>
      <c r="E24" s="48"/>
      <c r="F24" s="43">
        <f>D24*E24</f>
        <v>0</v>
      </c>
    </row>
    <row r="25" spans="1:6" ht="12.75">
      <c r="A25" s="39"/>
      <c r="B25" s="45"/>
      <c r="C25" s="40"/>
      <c r="D25" s="41"/>
      <c r="E25" s="42"/>
      <c r="F25" s="43"/>
    </row>
    <row r="26" spans="1:6" ht="76.5">
      <c r="A26" s="44">
        <f>+A24+1</f>
        <v>6</v>
      </c>
      <c r="B26" s="45" t="s">
        <v>61</v>
      </c>
      <c r="C26" s="46" t="s">
        <v>8</v>
      </c>
      <c r="D26" s="47">
        <f>+D13*0.26</f>
        <v>179.4</v>
      </c>
      <c r="E26" s="48"/>
      <c r="F26" s="43">
        <f>D26*E26</f>
        <v>0</v>
      </c>
    </row>
    <row r="27" spans="1:6" ht="12.75">
      <c r="A27" s="39"/>
      <c r="B27" s="25"/>
      <c r="C27" s="40"/>
      <c r="D27" s="41"/>
      <c r="E27" s="42"/>
      <c r="F27" s="43"/>
    </row>
    <row r="28" spans="1:6" ht="25.5">
      <c r="A28" s="44">
        <f>+A26+1</f>
        <v>7</v>
      </c>
      <c r="B28" s="45" t="s">
        <v>62</v>
      </c>
      <c r="C28" s="46" t="s">
        <v>8</v>
      </c>
      <c r="D28" s="47">
        <v>120</v>
      </c>
      <c r="E28" s="48"/>
      <c r="F28" s="43">
        <f>D28*E28</f>
        <v>0</v>
      </c>
    </row>
    <row r="29" spans="1:6" ht="12.75">
      <c r="A29" s="39"/>
      <c r="B29" s="25"/>
      <c r="C29" s="40"/>
      <c r="D29" s="41"/>
      <c r="E29" s="42"/>
      <c r="F29" s="43"/>
    </row>
    <row r="30" spans="1:6" ht="12.75">
      <c r="A30" s="44">
        <f>+A28+1</f>
        <v>8</v>
      </c>
      <c r="B30" s="25" t="s">
        <v>63</v>
      </c>
      <c r="C30" s="40" t="s">
        <v>53</v>
      </c>
      <c r="D30" s="41">
        <f>+D13</f>
        <v>690</v>
      </c>
      <c r="E30" s="42"/>
      <c r="F30" s="43">
        <f>D30*E30</f>
        <v>0</v>
      </c>
    </row>
    <row r="31" spans="1:6" ht="12.75">
      <c r="A31" s="39"/>
      <c r="B31" s="25"/>
      <c r="C31" s="40"/>
      <c r="D31" s="41"/>
      <c r="E31" s="42"/>
      <c r="F31" s="43"/>
    </row>
    <row r="32" spans="1:6" ht="25.5">
      <c r="A32" s="44">
        <f>+A30+1</f>
        <v>9</v>
      </c>
      <c r="B32" s="25" t="s">
        <v>64</v>
      </c>
      <c r="C32" s="40" t="s">
        <v>53</v>
      </c>
      <c r="D32" s="41">
        <f>+D13</f>
        <v>690</v>
      </c>
      <c r="E32" s="42"/>
      <c r="F32" s="43">
        <f>D32*E32</f>
        <v>0</v>
      </c>
    </row>
    <row r="33" spans="1:6" ht="12.75">
      <c r="A33" s="39"/>
      <c r="B33" s="25"/>
      <c r="C33" s="40"/>
      <c r="D33" s="41"/>
      <c r="E33" s="42"/>
      <c r="F33" s="43"/>
    </row>
    <row r="34" spans="1:6" ht="38.25">
      <c r="A34" s="44">
        <f>+A32+1</f>
        <v>10</v>
      </c>
      <c r="B34" s="25" t="s">
        <v>65</v>
      </c>
      <c r="C34" s="40"/>
      <c r="D34" s="41"/>
      <c r="E34" s="42"/>
      <c r="F34" s="43">
        <f>SUM(F13:F32)*0.1</f>
        <v>0</v>
      </c>
    </row>
    <row r="35" spans="1:6" ht="12.75">
      <c r="A35" s="39"/>
      <c r="B35" s="25"/>
      <c r="C35" s="49"/>
      <c r="D35" s="50"/>
      <c r="E35" s="51"/>
      <c r="F35" s="51"/>
    </row>
    <row r="36" spans="1:6" ht="12.75">
      <c r="A36" s="78"/>
      <c r="B36" s="79" t="s">
        <v>9</v>
      </c>
      <c r="C36" s="80"/>
      <c r="D36" s="81"/>
      <c r="E36" s="82"/>
      <c r="F36" s="83">
        <f>SUM(F13:F35)</f>
        <v>0</v>
      </c>
    </row>
    <row r="37" spans="1:6" ht="12.75">
      <c r="A37" s="40"/>
      <c r="B37" s="40"/>
      <c r="C37" s="40"/>
      <c r="D37" s="40"/>
      <c r="E37" s="40"/>
      <c r="F37" s="40"/>
    </row>
    <row r="38" spans="1:6" ht="12.75">
      <c r="A38" s="20">
        <v>2</v>
      </c>
      <c r="B38" s="52" t="s">
        <v>66</v>
      </c>
      <c r="C38" s="22"/>
      <c r="D38" s="23"/>
      <c r="E38" s="24"/>
      <c r="F38" s="24"/>
    </row>
    <row r="39" spans="1:6" ht="12.75">
      <c r="A39" s="53"/>
      <c r="B39" s="54"/>
      <c r="C39" s="55"/>
      <c r="D39" s="37"/>
      <c r="E39" s="38"/>
      <c r="F39" s="38"/>
    </row>
    <row r="40" spans="1:6" ht="12.75">
      <c r="A40" s="53"/>
      <c r="B40" s="56" t="s">
        <v>67</v>
      </c>
      <c r="C40" s="55"/>
      <c r="D40" s="37"/>
      <c r="E40" s="38"/>
      <c r="F40" s="38"/>
    </row>
    <row r="41" spans="1:6" ht="63.75">
      <c r="A41" s="53"/>
      <c r="B41" s="56" t="s">
        <v>68</v>
      </c>
      <c r="C41" s="55"/>
      <c r="D41" s="37"/>
      <c r="E41" s="38"/>
      <c r="F41" s="38"/>
    </row>
    <row r="42" spans="1:6" ht="76.5">
      <c r="A42" s="53"/>
      <c r="B42" s="56" t="s">
        <v>69</v>
      </c>
      <c r="C42" s="55"/>
      <c r="D42" s="37"/>
      <c r="E42" s="38"/>
      <c r="F42" s="38"/>
    </row>
    <row r="43" spans="1:6" ht="25.5">
      <c r="A43" s="53"/>
      <c r="B43" s="56" t="s">
        <v>70</v>
      </c>
      <c r="C43" s="55"/>
      <c r="D43" s="37"/>
      <c r="E43" s="38"/>
      <c r="F43" s="38"/>
    </row>
    <row r="44" spans="1:6" ht="25.5">
      <c r="A44" s="53"/>
      <c r="B44" s="56" t="s">
        <v>71</v>
      </c>
      <c r="C44" s="55"/>
      <c r="D44" s="37"/>
      <c r="E44" s="38"/>
      <c r="F44" s="38"/>
    </row>
    <row r="45" spans="1:6" ht="12.75">
      <c r="A45" s="53"/>
      <c r="B45" s="54"/>
      <c r="C45" s="55"/>
      <c r="D45" s="37"/>
      <c r="E45" s="38"/>
      <c r="F45" s="38"/>
    </row>
    <row r="46" spans="1:6" ht="12.75">
      <c r="A46" s="26" t="s">
        <v>47</v>
      </c>
      <c r="B46" s="26" t="s">
        <v>48</v>
      </c>
      <c r="C46" s="27" t="s">
        <v>49</v>
      </c>
      <c r="D46" s="28" t="s">
        <v>36</v>
      </c>
      <c r="E46" s="29" t="s">
        <v>50</v>
      </c>
      <c r="F46" s="30" t="s">
        <v>91</v>
      </c>
    </row>
    <row r="47" spans="1:6" ht="12.75">
      <c r="A47" s="20"/>
      <c r="B47" s="52"/>
      <c r="C47" s="22"/>
      <c r="D47" s="57"/>
      <c r="E47" s="24"/>
      <c r="F47" s="24"/>
    </row>
    <row r="48" spans="1:6" ht="12.75">
      <c r="A48" s="20"/>
      <c r="B48" s="52" t="s">
        <v>72</v>
      </c>
      <c r="C48" s="22"/>
      <c r="D48" s="57"/>
      <c r="E48" s="24"/>
      <c r="F48" s="24"/>
    </row>
    <row r="49" spans="1:6" ht="12.75">
      <c r="A49" s="53"/>
      <c r="B49" s="54"/>
      <c r="C49" s="55"/>
      <c r="D49" s="58"/>
      <c r="E49" s="59"/>
      <c r="F49" s="59"/>
    </row>
    <row r="50" spans="1:6" ht="51">
      <c r="A50" s="60">
        <v>1</v>
      </c>
      <c r="B50" s="56" t="s">
        <v>73</v>
      </c>
      <c r="C50" s="61"/>
      <c r="D50" s="62"/>
      <c r="E50" s="59"/>
      <c r="F50" s="59"/>
    </row>
    <row r="51" spans="1:6" ht="12.75">
      <c r="A51" s="63"/>
      <c r="B51" s="64" t="s">
        <v>74</v>
      </c>
      <c r="C51" s="65" t="s">
        <v>0</v>
      </c>
      <c r="D51" s="62">
        <v>690</v>
      </c>
      <c r="E51" s="59"/>
      <c r="F51" s="59">
        <f>E51*D51</f>
        <v>0</v>
      </c>
    </row>
    <row r="52" spans="1:6" ht="12.75">
      <c r="A52" s="63"/>
      <c r="B52" s="64" t="s">
        <v>110</v>
      </c>
      <c r="C52" s="65" t="s">
        <v>0</v>
      </c>
      <c r="D52" s="62">
        <v>50</v>
      </c>
      <c r="E52" s="59"/>
      <c r="F52" s="59">
        <f>+D52*E52</f>
        <v>0</v>
      </c>
    </row>
    <row r="53" spans="1:6" ht="12.75">
      <c r="A53" s="63"/>
      <c r="B53" s="64" t="s">
        <v>75</v>
      </c>
      <c r="C53" s="65" t="s">
        <v>0</v>
      </c>
      <c r="D53" s="62">
        <v>27</v>
      </c>
      <c r="E53" s="59"/>
      <c r="F53" s="59">
        <f>E53*D53</f>
        <v>0</v>
      </c>
    </row>
    <row r="54" spans="1:6" ht="12.75">
      <c r="A54" s="66"/>
      <c r="B54" s="64"/>
      <c r="C54" s="65"/>
      <c r="D54" s="67"/>
      <c r="E54" s="59"/>
      <c r="F54" s="59"/>
    </row>
    <row r="55" spans="1:6" ht="25.5">
      <c r="A55" s="60">
        <v>2</v>
      </c>
      <c r="B55" s="68" t="s">
        <v>76</v>
      </c>
      <c r="C55" s="65"/>
      <c r="D55" s="67"/>
      <c r="E55" s="59"/>
      <c r="F55" s="59"/>
    </row>
    <row r="56" spans="1:6" ht="25.5">
      <c r="A56" s="63"/>
      <c r="B56" s="68" t="s">
        <v>77</v>
      </c>
      <c r="C56" s="65"/>
      <c r="D56" s="67"/>
      <c r="E56" s="59"/>
      <c r="F56" s="59"/>
    </row>
    <row r="57" spans="1:6" ht="15.75">
      <c r="A57" s="66"/>
      <c r="B57" s="69" t="s">
        <v>90</v>
      </c>
      <c r="C57" s="65"/>
      <c r="D57" s="67"/>
      <c r="E57" s="59"/>
      <c r="F57" s="59"/>
    </row>
    <row r="58" spans="1:6" ht="12.75">
      <c r="A58" s="66"/>
      <c r="B58" s="69" t="s">
        <v>74</v>
      </c>
      <c r="C58" s="65" t="s">
        <v>10</v>
      </c>
      <c r="D58" s="67">
        <v>20</v>
      </c>
      <c r="E58" s="59"/>
      <c r="F58" s="59">
        <f>E58*D58</f>
        <v>0</v>
      </c>
    </row>
    <row r="59" spans="1:6" ht="12.75">
      <c r="A59" s="66"/>
      <c r="B59" s="69" t="s">
        <v>78</v>
      </c>
      <c r="C59" s="65"/>
      <c r="D59" s="67"/>
      <c r="E59" s="59"/>
      <c r="F59" s="59"/>
    </row>
    <row r="60" spans="1:6" ht="15.75">
      <c r="A60" s="66"/>
      <c r="B60" s="69" t="s">
        <v>90</v>
      </c>
      <c r="C60" s="65"/>
      <c r="D60" s="67"/>
      <c r="E60" s="59"/>
      <c r="F60" s="59"/>
    </row>
    <row r="61" spans="1:6" ht="12.75">
      <c r="A61" s="66"/>
      <c r="B61" s="69" t="s">
        <v>74</v>
      </c>
      <c r="C61" s="65" t="s">
        <v>10</v>
      </c>
      <c r="D61" s="67">
        <v>5</v>
      </c>
      <c r="E61" s="59"/>
      <c r="F61" s="59">
        <f>E61*D61</f>
        <v>0</v>
      </c>
    </row>
    <row r="62" spans="1:6" ht="12.75">
      <c r="A62" s="66"/>
      <c r="B62" s="69" t="s">
        <v>79</v>
      </c>
      <c r="C62" s="65"/>
      <c r="D62" s="67"/>
      <c r="E62" s="59"/>
      <c r="F62" s="59"/>
    </row>
    <row r="63" spans="1:6" ht="15.75">
      <c r="A63" s="66"/>
      <c r="B63" s="69" t="s">
        <v>90</v>
      </c>
      <c r="C63" s="65"/>
      <c r="D63" s="67"/>
      <c r="E63" s="59"/>
      <c r="F63" s="59"/>
    </row>
    <row r="64" spans="1:6" ht="12.75">
      <c r="A64" s="66"/>
      <c r="B64" s="69" t="s">
        <v>74</v>
      </c>
      <c r="C64" s="65" t="s">
        <v>10</v>
      </c>
      <c r="D64" s="67">
        <v>6</v>
      </c>
      <c r="E64" s="59"/>
      <c r="F64" s="59">
        <f>E64*D64</f>
        <v>0</v>
      </c>
    </row>
    <row r="65" spans="1:6" ht="12.75">
      <c r="A65" s="66"/>
      <c r="B65" s="69" t="s">
        <v>80</v>
      </c>
      <c r="C65" s="65"/>
      <c r="D65" s="67"/>
      <c r="E65" s="59"/>
      <c r="F65" s="59"/>
    </row>
    <row r="66" spans="1:6" ht="12.75">
      <c r="A66" s="66"/>
      <c r="B66" s="69" t="s">
        <v>74</v>
      </c>
      <c r="C66" s="65" t="s">
        <v>10</v>
      </c>
      <c r="D66" s="67">
        <v>17</v>
      </c>
      <c r="E66" s="59"/>
      <c r="F66" s="59">
        <f>E66*D66</f>
        <v>0</v>
      </c>
    </row>
    <row r="67" spans="1:6" ht="12.75">
      <c r="A67" s="66"/>
      <c r="B67" s="64" t="s">
        <v>81</v>
      </c>
      <c r="C67" s="65"/>
      <c r="D67" s="67"/>
      <c r="E67" s="59"/>
      <c r="F67" s="59"/>
    </row>
    <row r="68" spans="1:6" ht="12.75">
      <c r="A68" s="66"/>
      <c r="B68" s="64" t="s">
        <v>74</v>
      </c>
      <c r="C68" s="65" t="s">
        <v>10</v>
      </c>
      <c r="D68" s="67">
        <v>4</v>
      </c>
      <c r="E68" s="59"/>
      <c r="F68" s="59">
        <f>E68*D68</f>
        <v>0</v>
      </c>
    </row>
    <row r="69" spans="1:6" ht="12.75">
      <c r="A69" s="66"/>
      <c r="B69" s="64"/>
      <c r="C69" s="65"/>
      <c r="D69" s="67"/>
      <c r="E69" s="59"/>
      <c r="F69" s="59"/>
    </row>
    <row r="70" spans="1:6" ht="12.75">
      <c r="A70" s="66"/>
      <c r="B70" s="64" t="s">
        <v>122</v>
      </c>
      <c r="C70" s="65" t="s">
        <v>10</v>
      </c>
      <c r="D70" s="67">
        <v>8</v>
      </c>
      <c r="E70" s="59"/>
      <c r="F70" s="59">
        <f>+D70*E70</f>
        <v>0</v>
      </c>
    </row>
    <row r="71" spans="1:6" ht="12.75">
      <c r="A71" s="66"/>
      <c r="B71" s="64"/>
      <c r="C71" s="65"/>
      <c r="D71" s="67"/>
      <c r="E71" s="59"/>
      <c r="F71" s="59"/>
    </row>
    <row r="72" spans="1:6" ht="25.5">
      <c r="A72" s="60">
        <v>3</v>
      </c>
      <c r="B72" s="70" t="s">
        <v>82</v>
      </c>
      <c r="C72" s="65" t="s">
        <v>0</v>
      </c>
      <c r="D72" s="67">
        <f>+D51</f>
        <v>690</v>
      </c>
      <c r="E72" s="59"/>
      <c r="F72" s="59">
        <f>E72*D72</f>
        <v>0</v>
      </c>
    </row>
    <row r="73" spans="1:6" ht="12.75">
      <c r="A73" s="66"/>
      <c r="B73" s="71"/>
      <c r="C73" s="65"/>
      <c r="D73" s="67"/>
      <c r="E73" s="59"/>
      <c r="F73" s="59"/>
    </row>
    <row r="74" spans="1:6" ht="12.75">
      <c r="A74" s="60">
        <v>4</v>
      </c>
      <c r="B74" s="72" t="s">
        <v>83</v>
      </c>
      <c r="C74" s="65" t="s">
        <v>37</v>
      </c>
      <c r="D74" s="67">
        <v>1</v>
      </c>
      <c r="E74" s="59"/>
      <c r="F74" s="59">
        <f>E74*D74</f>
        <v>0</v>
      </c>
    </row>
    <row r="75" spans="1:6" ht="12.75">
      <c r="A75" s="66"/>
      <c r="B75" s="64"/>
      <c r="C75" s="65"/>
      <c r="D75" s="67"/>
      <c r="E75" s="73"/>
      <c r="F75" s="59"/>
    </row>
    <row r="76" spans="1:6" ht="25.5">
      <c r="A76" s="60">
        <v>5</v>
      </c>
      <c r="B76" s="64" t="s">
        <v>84</v>
      </c>
      <c r="C76" s="65" t="s">
        <v>37</v>
      </c>
      <c r="D76" s="74">
        <v>0.05</v>
      </c>
      <c r="E76" s="73"/>
      <c r="F76" s="59">
        <f>SUM(F51:F74)*D76</f>
        <v>0</v>
      </c>
    </row>
    <row r="77" spans="1:6" ht="12.75">
      <c r="A77" s="66"/>
      <c r="B77" s="64"/>
      <c r="C77" s="65"/>
      <c r="D77" s="67"/>
      <c r="E77" s="73"/>
      <c r="F77" s="59"/>
    </row>
    <row r="78" spans="1:6" ht="25.5">
      <c r="A78" s="60">
        <v>6</v>
      </c>
      <c r="B78" s="64" t="s">
        <v>85</v>
      </c>
      <c r="C78" s="65" t="s">
        <v>37</v>
      </c>
      <c r="D78" s="67">
        <v>1</v>
      </c>
      <c r="E78" s="73"/>
      <c r="F78" s="59">
        <f>+D78*E78</f>
        <v>0</v>
      </c>
    </row>
    <row r="79" spans="1:6" ht="12.75">
      <c r="A79" s="66"/>
      <c r="B79" s="64"/>
      <c r="C79" s="65"/>
      <c r="D79" s="67"/>
      <c r="E79" s="59"/>
      <c r="F79" s="59"/>
    </row>
    <row r="80" spans="1:6" ht="25.5">
      <c r="A80" s="60">
        <v>7</v>
      </c>
      <c r="B80" s="71" t="s">
        <v>86</v>
      </c>
      <c r="C80" s="65" t="s">
        <v>37</v>
      </c>
      <c r="D80" s="67">
        <v>1</v>
      </c>
      <c r="E80" s="59"/>
      <c r="F80" s="59">
        <f>E80*D80</f>
        <v>0</v>
      </c>
    </row>
    <row r="81" spans="1:6" ht="12.75">
      <c r="A81" s="66"/>
      <c r="B81" s="64"/>
      <c r="C81" s="63"/>
      <c r="D81" s="75"/>
      <c r="E81" s="76"/>
      <c r="F81" s="76"/>
    </row>
    <row r="82" spans="1:6" ht="38.25">
      <c r="A82" s="60">
        <v>8</v>
      </c>
      <c r="B82" s="64" t="s">
        <v>87</v>
      </c>
      <c r="C82" s="65" t="s">
        <v>37</v>
      </c>
      <c r="D82" s="67">
        <v>1</v>
      </c>
      <c r="E82" s="73"/>
      <c r="F82" s="59">
        <f>E82*D82</f>
        <v>0</v>
      </c>
    </row>
    <row r="83" spans="1:6" ht="12.75">
      <c r="A83" s="63"/>
      <c r="B83" s="56"/>
      <c r="C83" s="61"/>
      <c r="D83" s="62"/>
      <c r="E83" s="59"/>
      <c r="F83" s="59"/>
    </row>
    <row r="84" spans="1:6" ht="76.5">
      <c r="A84" s="60">
        <v>9</v>
      </c>
      <c r="B84" s="64" t="s">
        <v>88</v>
      </c>
      <c r="C84" s="65" t="s">
        <v>37</v>
      </c>
      <c r="D84" s="67"/>
      <c r="E84" s="59"/>
      <c r="F84" s="59"/>
    </row>
    <row r="85" spans="1:6" ht="12.75">
      <c r="A85" s="60"/>
      <c r="B85" s="64" t="s">
        <v>120</v>
      </c>
      <c r="C85" s="65"/>
      <c r="D85" s="67">
        <v>4</v>
      </c>
      <c r="E85" s="59"/>
      <c r="F85" s="59">
        <f>E85*D85</f>
        <v>0</v>
      </c>
    </row>
    <row r="86" spans="1:6" ht="12.75">
      <c r="A86" s="60"/>
      <c r="B86" s="64" t="s">
        <v>120</v>
      </c>
      <c r="C86" s="65"/>
      <c r="D86" s="67">
        <v>15</v>
      </c>
      <c r="E86" s="59"/>
      <c r="F86" s="59">
        <f>E86*D86</f>
        <v>0</v>
      </c>
    </row>
    <row r="87" spans="1:6" ht="12.75">
      <c r="A87" s="60"/>
      <c r="B87" s="64" t="s">
        <v>121</v>
      </c>
      <c r="C87" s="65"/>
      <c r="D87" s="67">
        <v>3</v>
      </c>
      <c r="E87" s="59"/>
      <c r="F87" s="59">
        <f>E87*D87</f>
        <v>0</v>
      </c>
    </row>
    <row r="88" spans="1:6" ht="12.75">
      <c r="A88" s="60"/>
      <c r="B88" s="64"/>
      <c r="C88" s="65"/>
      <c r="D88" s="67"/>
      <c r="E88" s="59"/>
      <c r="F88" s="59"/>
    </row>
    <row r="89" spans="1:6" ht="12.75">
      <c r="A89" s="60"/>
      <c r="B89" s="64"/>
      <c r="C89" s="65"/>
      <c r="D89" s="67"/>
      <c r="E89" s="59"/>
      <c r="F89" s="59"/>
    </row>
    <row r="90" spans="1:6" ht="12.75">
      <c r="A90" s="60"/>
      <c r="B90" s="64"/>
      <c r="C90" s="65"/>
      <c r="D90" s="67"/>
      <c r="E90" s="59"/>
      <c r="F90" s="59"/>
    </row>
    <row r="91" spans="1:6" ht="12.75">
      <c r="A91" s="60"/>
      <c r="B91" s="64"/>
      <c r="C91" s="65"/>
      <c r="D91" s="67"/>
      <c r="E91" s="59"/>
      <c r="F91" s="59"/>
    </row>
    <row r="92" spans="1:6" ht="12.75">
      <c r="A92" s="60"/>
      <c r="B92" s="64"/>
      <c r="C92" s="65"/>
      <c r="D92" s="67"/>
      <c r="E92" s="59"/>
      <c r="F92" s="59"/>
    </row>
    <row r="93" spans="1:6" ht="12.75">
      <c r="A93" s="63"/>
      <c r="B93" s="56"/>
      <c r="C93" s="61"/>
      <c r="D93" s="62"/>
      <c r="E93" s="59"/>
      <c r="F93" s="59"/>
    </row>
    <row r="94" spans="1:6" ht="12.75">
      <c r="A94" s="84"/>
      <c r="B94" s="85" t="s">
        <v>89</v>
      </c>
      <c r="C94" s="86"/>
      <c r="D94" s="87"/>
      <c r="E94" s="88"/>
      <c r="F94" s="88">
        <f>SUM(F51:F84)</f>
        <v>0</v>
      </c>
    </row>
    <row r="97" spans="1:6" ht="12.75">
      <c r="A97" s="89"/>
      <c r="B97" s="90" t="s">
        <v>9</v>
      </c>
      <c r="C97" s="89"/>
      <c r="D97" s="89"/>
      <c r="E97" s="89"/>
      <c r="F97" s="91">
        <f>F94+F36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29" max="255" man="1"/>
    <brk id="7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2.375" style="0" customWidth="1"/>
    <col min="2" max="4" width="11.25390625" style="0" customWidth="1"/>
    <col min="6" max="9" width="15.25390625" style="0" customWidth="1"/>
  </cols>
  <sheetData>
    <row r="1" ht="12.75">
      <c r="A1" s="92" t="s">
        <v>100</v>
      </c>
    </row>
    <row r="3" spans="1:8" ht="12.75">
      <c r="A3" t="s">
        <v>92</v>
      </c>
      <c r="B3" t="s">
        <v>93</v>
      </c>
      <c r="C3" t="s">
        <v>94</v>
      </c>
      <c r="D3" t="s">
        <v>107</v>
      </c>
      <c r="E3" t="s">
        <v>95</v>
      </c>
      <c r="F3" t="s">
        <v>93</v>
      </c>
      <c r="G3" t="s">
        <v>94</v>
      </c>
      <c r="H3" t="s">
        <v>107</v>
      </c>
    </row>
    <row r="4" spans="1:8" ht="12.75">
      <c r="A4" s="92" t="s">
        <v>101</v>
      </c>
      <c r="B4">
        <f>165.1+1.6+59.6+7.5+9.8</f>
        <v>243.6</v>
      </c>
      <c r="C4">
        <f>21+32.3+21+17.4+18.5+7.5+7.5</f>
        <v>125.19999999999999</v>
      </c>
      <c r="D4">
        <f>97.6+7.2+9</f>
        <v>113.8</v>
      </c>
      <c r="F4" s="93"/>
      <c r="G4" s="93"/>
      <c r="H4" s="93"/>
    </row>
    <row r="5" spans="1:8" ht="12.75">
      <c r="A5" s="92" t="s">
        <v>102</v>
      </c>
      <c r="B5">
        <f>159.2+24.5+4+4</f>
        <v>191.7</v>
      </c>
      <c r="C5">
        <f>19.9+17.9+44.7+16.8+7.5*2</f>
        <v>114.3</v>
      </c>
      <c r="D5">
        <f>89.3+6.5*2</f>
        <v>102.3</v>
      </c>
      <c r="E5">
        <v>25</v>
      </c>
      <c r="F5" s="93">
        <f aca="true" t="shared" si="0" ref="F5:F10">+(B4+B5)/2*E5</f>
        <v>5441.249999999999</v>
      </c>
      <c r="G5" s="93">
        <f aca="true" t="shared" si="1" ref="G5:G10">+(C4+C5)/2*E5</f>
        <v>2993.75</v>
      </c>
      <c r="H5" s="93">
        <f aca="true" t="shared" si="2" ref="H5:H10">+(D4+D5)/2*E5</f>
        <v>2701.25</v>
      </c>
    </row>
    <row r="6" spans="1:8" ht="12.75">
      <c r="A6" s="92" t="s">
        <v>103</v>
      </c>
      <c r="B6">
        <f>237.9+13.2+4+4</f>
        <v>259.1</v>
      </c>
      <c r="C6">
        <f>19.9+15.6+52.1+7.6+7.5*2</f>
        <v>110.19999999999999</v>
      </c>
      <c r="D6">
        <f>85+6</f>
        <v>91</v>
      </c>
      <c r="E6">
        <f>+E5</f>
        <v>25</v>
      </c>
      <c r="F6" s="93">
        <f t="shared" si="0"/>
        <v>5635</v>
      </c>
      <c r="G6" s="93">
        <f t="shared" si="1"/>
        <v>2806.25</v>
      </c>
      <c r="H6" s="93">
        <f t="shared" si="2"/>
        <v>2416.25</v>
      </c>
    </row>
    <row r="7" spans="1:8" ht="12.75">
      <c r="A7" s="92" t="s">
        <v>104</v>
      </c>
      <c r="B7">
        <f>229.6+4</f>
        <v>233.6</v>
      </c>
      <c r="C7">
        <f>21.2+12.4+47.9+7.5*2</f>
        <v>96.5</v>
      </c>
      <c r="D7">
        <v>80</v>
      </c>
      <c r="E7">
        <f>+E6</f>
        <v>25</v>
      </c>
      <c r="F7" s="93">
        <f t="shared" si="0"/>
        <v>6158.750000000001</v>
      </c>
      <c r="G7" s="93">
        <f t="shared" si="1"/>
        <v>2583.75</v>
      </c>
      <c r="H7" s="93">
        <f t="shared" si="2"/>
        <v>2137.5</v>
      </c>
    </row>
    <row r="8" spans="1:8" ht="12.75">
      <c r="A8" s="92" t="s">
        <v>105</v>
      </c>
      <c r="B8">
        <f>100.5+8.1+11</f>
        <v>119.6</v>
      </c>
      <c r="C8">
        <f>23.2+44.8+7.5*2</f>
        <v>83</v>
      </c>
      <c r="D8">
        <v>80.8</v>
      </c>
      <c r="E8">
        <f>+E7</f>
        <v>25</v>
      </c>
      <c r="F8" s="93">
        <f t="shared" si="0"/>
        <v>4415</v>
      </c>
      <c r="G8" s="93">
        <f t="shared" si="1"/>
        <v>2243.75</v>
      </c>
      <c r="H8" s="93">
        <f t="shared" si="2"/>
        <v>2010.0000000000002</v>
      </c>
    </row>
    <row r="9" spans="1:8" ht="12.75">
      <c r="A9" s="92" t="s">
        <v>106</v>
      </c>
      <c r="B9">
        <v>0</v>
      </c>
      <c r="C9">
        <v>0</v>
      </c>
      <c r="D9">
        <v>0</v>
      </c>
      <c r="E9">
        <f>+E8</f>
        <v>25</v>
      </c>
      <c r="F9" s="93">
        <f t="shared" si="0"/>
        <v>1495</v>
      </c>
      <c r="G9" s="93">
        <f t="shared" si="1"/>
        <v>1037.5</v>
      </c>
      <c r="H9" s="93">
        <f t="shared" si="2"/>
        <v>1010</v>
      </c>
    </row>
    <row r="10" spans="1:8" ht="12.75">
      <c r="A10" s="92"/>
      <c r="F10" s="93">
        <f t="shared" si="0"/>
        <v>0</v>
      </c>
      <c r="G10" s="93">
        <f t="shared" si="1"/>
        <v>0</v>
      </c>
      <c r="H10" s="93">
        <f t="shared" si="2"/>
        <v>0</v>
      </c>
    </row>
    <row r="11" spans="5:8" ht="12.75">
      <c r="E11" t="s">
        <v>96</v>
      </c>
      <c r="F11" s="93">
        <f>SUM(F5:F10)</f>
        <v>23145</v>
      </c>
      <c r="G11" s="93">
        <f>SUM(G5:G10)</f>
        <v>11665</v>
      </c>
      <c r="H11" s="93">
        <f>SUM(H5:H10)</f>
        <v>10275</v>
      </c>
    </row>
    <row r="14" spans="1:8" ht="12.75">
      <c r="A14" t="s">
        <v>92</v>
      </c>
      <c r="B14" t="s">
        <v>97</v>
      </c>
      <c r="C14" t="s">
        <v>98</v>
      </c>
      <c r="D14" t="s">
        <v>99</v>
      </c>
      <c r="E14" t="s">
        <v>95</v>
      </c>
      <c r="F14" t="str">
        <f>+B14</f>
        <v>planiranje</v>
      </c>
      <c r="G14" t="str">
        <f>+C14</f>
        <v>folija</v>
      </c>
      <c r="H14" t="str">
        <f>+D14</f>
        <v>mreža</v>
      </c>
    </row>
    <row r="15" spans="1:8" ht="12.75">
      <c r="A15" s="92" t="str">
        <f aca="true" t="shared" si="3" ref="A15:A20">+A4</f>
        <v>P4</v>
      </c>
      <c r="B15">
        <v>94.6</v>
      </c>
      <c r="C15">
        <f>21.1+32.4+21+17.4+18.6</f>
        <v>110.5</v>
      </c>
      <c r="D15">
        <f>49.7+6.6+2.5+6+2.5+33.3+6+6.5</f>
        <v>113.10000000000001</v>
      </c>
      <c r="F15" s="93"/>
      <c r="G15" s="93"/>
      <c r="H15" s="93"/>
    </row>
    <row r="16" spans="1:8" ht="12.75">
      <c r="A16" s="92" t="str">
        <f t="shared" si="3"/>
        <v>P5</v>
      </c>
      <c r="B16">
        <v>86.8</v>
      </c>
      <c r="C16">
        <f>19.9+17.9+44.8+16.8</f>
        <v>99.39999999999999</v>
      </c>
      <c r="D16">
        <f>34+6+6.5+17.6+5.9</f>
        <v>70</v>
      </c>
      <c r="E16">
        <f>+E5</f>
        <v>25</v>
      </c>
      <c r="F16" s="93">
        <f>+(B15+B16)/2*E16</f>
        <v>2267.4999999999995</v>
      </c>
      <c r="G16" s="93">
        <f>+(C15+C16)/2*E16</f>
        <v>2623.7499999999995</v>
      </c>
      <c r="H16" s="93">
        <f>+(D15+D16)/2*E16</f>
        <v>2288.7500000000005</v>
      </c>
    </row>
    <row r="17" spans="1:8" ht="12.75">
      <c r="A17" s="92" t="str">
        <f t="shared" si="3"/>
        <v>P6</v>
      </c>
      <c r="B17">
        <v>82.5</v>
      </c>
      <c r="C17">
        <f>19.9+15.6+52.1+7.6</f>
        <v>95.19999999999999</v>
      </c>
      <c r="D17">
        <f>31.9+6.5+6+8.5+6</f>
        <v>58.9</v>
      </c>
      <c r="E17">
        <f>+E6</f>
        <v>25</v>
      </c>
      <c r="F17" s="93">
        <f>+(B16+B17)/2*E17</f>
        <v>2116.25</v>
      </c>
      <c r="G17" s="93">
        <f>+(C16+C17)/2*E17</f>
        <v>2432.4999999999995</v>
      </c>
      <c r="H17" s="93">
        <f>+(D16+D17)/2*E17</f>
        <v>1611.25</v>
      </c>
    </row>
    <row r="18" spans="1:8" ht="12.75">
      <c r="A18" s="92" t="str">
        <f t="shared" si="3"/>
        <v>P7</v>
      </c>
      <c r="B18">
        <v>73.4</v>
      </c>
      <c r="C18">
        <f>21.2+12.3+47.9</f>
        <v>81.4</v>
      </c>
      <c r="D18">
        <f>31.2+6.5+6</f>
        <v>43.7</v>
      </c>
      <c r="E18">
        <f>+E7</f>
        <v>25</v>
      </c>
      <c r="F18" s="93">
        <f>+(B17+B18)/2*E18</f>
        <v>1948.75</v>
      </c>
      <c r="G18" s="93">
        <f>+(C17+C18)/2*E18</f>
        <v>2207.5</v>
      </c>
      <c r="H18" s="93">
        <f>+(D17+D18)/2*E18</f>
        <v>1282.5</v>
      </c>
    </row>
    <row r="19" spans="1:8" ht="12.75">
      <c r="A19" s="92" t="str">
        <f t="shared" si="3"/>
        <v>P8</v>
      </c>
      <c r="B19">
        <v>70</v>
      </c>
      <c r="C19">
        <f>23.2+44.8</f>
        <v>68</v>
      </c>
      <c r="D19">
        <f>21.2+6</f>
        <v>27.2</v>
      </c>
      <c r="E19">
        <f>+E8</f>
        <v>25</v>
      </c>
      <c r="F19" s="93">
        <f>+(B18+B19)/2*E19</f>
        <v>1792.5</v>
      </c>
      <c r="G19" s="93">
        <f>+(C18+C19)/2*E19</f>
        <v>1867.5</v>
      </c>
      <c r="H19" s="93">
        <f>+(D18+D19)/2*E19</f>
        <v>886.2500000000001</v>
      </c>
    </row>
    <row r="20" spans="1:8" ht="12.75">
      <c r="A20" s="92" t="str">
        <f t="shared" si="3"/>
        <v>P9</v>
      </c>
      <c r="B20">
        <v>0</v>
      </c>
      <c r="C20">
        <v>0</v>
      </c>
      <c r="D20">
        <v>0</v>
      </c>
      <c r="E20">
        <f>+E9</f>
        <v>25</v>
      </c>
      <c r="F20" s="93">
        <f>+(B19+B20)/2*E20</f>
        <v>875</v>
      </c>
      <c r="G20" s="93">
        <f>+(C19+C20)/2*E20</f>
        <v>850</v>
      </c>
      <c r="H20" s="93">
        <f>+(D19+D20)/2*E20</f>
        <v>340</v>
      </c>
    </row>
    <row r="21" spans="1:8" ht="12.75">
      <c r="A21" s="92"/>
      <c r="F21" s="93"/>
      <c r="G21" s="93"/>
      <c r="H21" s="93"/>
    </row>
    <row r="22" spans="5:8" ht="12.75">
      <c r="E22" t="s">
        <v>96</v>
      </c>
      <c r="F22" s="93">
        <f>SUM(F16:F21)</f>
        <v>9000</v>
      </c>
      <c r="G22" s="93">
        <f>SUM(G16:G21)</f>
        <v>9981.25</v>
      </c>
      <c r="H22" s="93">
        <f>SUM(H16:H21)</f>
        <v>6408.75</v>
      </c>
    </row>
    <row r="25" ht="12.75">
      <c r="A25" s="92"/>
    </row>
    <row r="28" spans="1:8" ht="12.75">
      <c r="A28" s="92"/>
      <c r="F28" s="93"/>
      <c r="G28" s="93"/>
      <c r="H28" s="93"/>
    </row>
    <row r="29" spans="1:8" ht="12.75">
      <c r="A29" s="92"/>
      <c r="F29" s="93"/>
      <c r="G29" s="93"/>
      <c r="H29" s="93"/>
    </row>
    <row r="30" spans="1:8" ht="12.75">
      <c r="A30" s="92"/>
      <c r="F30" s="93"/>
      <c r="G30" s="93"/>
      <c r="H30" s="93"/>
    </row>
    <row r="31" spans="1:8" ht="12.75">
      <c r="A31" s="92"/>
      <c r="F31" s="93"/>
      <c r="G31" s="93"/>
      <c r="H31" s="93"/>
    </row>
    <row r="32" spans="1:8" ht="12.75">
      <c r="A32" s="92"/>
      <c r="F32" s="93"/>
      <c r="G32" s="93"/>
      <c r="H32" s="93"/>
    </row>
    <row r="33" spans="1:8" ht="12.75">
      <c r="A33" s="92"/>
      <c r="F33" s="93"/>
      <c r="G33" s="93"/>
      <c r="H33" s="93"/>
    </row>
    <row r="34" spans="1:8" ht="12.75">
      <c r="A34" s="92"/>
      <c r="F34" s="93"/>
      <c r="G34" s="93"/>
      <c r="H34" s="93"/>
    </row>
    <row r="35" spans="6:8" ht="12.75">
      <c r="F35" s="93"/>
      <c r="G35" s="93"/>
      <c r="H35" s="93"/>
    </row>
    <row r="39" spans="1:9" ht="12.75">
      <c r="A39" s="92"/>
      <c r="F39" s="93"/>
      <c r="G39" s="93"/>
      <c r="H39" s="93"/>
      <c r="I39" s="93"/>
    </row>
    <row r="40" spans="1:9" ht="12.75">
      <c r="A40" s="92"/>
      <c r="F40" s="93"/>
      <c r="G40" s="93"/>
      <c r="H40" s="93"/>
      <c r="I40" s="93"/>
    </row>
    <row r="41" spans="1:9" ht="12.75">
      <c r="A41" s="92"/>
      <c r="F41" s="93"/>
      <c r="G41" s="93"/>
      <c r="H41" s="93"/>
      <c r="I41" s="93"/>
    </row>
    <row r="42" spans="1:9" ht="12.75">
      <c r="A42" s="92"/>
      <c r="F42" s="93"/>
      <c r="G42" s="93"/>
      <c r="H42" s="93"/>
      <c r="I42" s="93"/>
    </row>
    <row r="43" spans="1:9" ht="12.75">
      <c r="A43" s="92"/>
      <c r="F43" s="93"/>
      <c r="G43" s="93"/>
      <c r="H43" s="93"/>
      <c r="I43" s="93"/>
    </row>
    <row r="44" spans="1:9" ht="12.75">
      <c r="A44" s="92"/>
      <c r="F44" s="93"/>
      <c r="G44" s="93"/>
      <c r="H44" s="93"/>
      <c r="I44" s="93"/>
    </row>
    <row r="45" spans="1:9" ht="12.75">
      <c r="A45" s="92"/>
      <c r="F45" s="93"/>
      <c r="G45" s="93"/>
      <c r="H45" s="93"/>
      <c r="I45" s="93"/>
    </row>
    <row r="46" spans="6:9" ht="12.75">
      <c r="F46" s="93"/>
      <c r="G46" s="93"/>
      <c r="H46" s="93"/>
      <c r="I46" s="93"/>
    </row>
    <row r="49" spans="5:6" ht="12.75">
      <c r="E49" s="94"/>
      <c r="F49" s="95"/>
    </row>
    <row r="50" spans="5:6" ht="12.75">
      <c r="E50" s="94"/>
      <c r="F50" s="95"/>
    </row>
    <row r="51" spans="5:6" ht="12.75">
      <c r="E51" s="94"/>
      <c r="F51" s="95"/>
    </row>
    <row r="52" spans="5:6" ht="12.75">
      <c r="E52" s="94"/>
      <c r="F52" s="9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Iztok Kleibncetl</dc:creator>
  <cp:keywords/>
  <dc:description/>
  <cp:lastModifiedBy>Jernej Volk</cp:lastModifiedBy>
  <cp:lastPrinted>2017-11-10T10:08:19Z</cp:lastPrinted>
  <dcterms:created xsi:type="dcterms:W3CDTF">1997-10-22T05:40:33Z</dcterms:created>
  <dcterms:modified xsi:type="dcterms:W3CDTF">2017-11-13T09:22:06Z</dcterms:modified>
  <cp:category/>
  <cp:version/>
  <cp:contentType/>
  <cp:contentStatus/>
</cp:coreProperties>
</file>